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1文化担当\010_施設管理（総括）\00 指定管理者\H31（選定）\15_質問\区民文化センター\回答\"/>
    </mc:Choice>
  </mc:AlternateContent>
  <bookViews>
    <workbookView xWindow="975" yWindow="0" windowWidth="19560" windowHeight="8355"/>
  </bookViews>
  <sheets>
    <sheet name="備品一覧_20190823_50922106_佐伯区民文化セン" sheetId="1" r:id="rId1"/>
  </sheets>
  <calcPr calcId="152511"/>
</workbook>
</file>

<file path=xl/calcChain.xml><?xml version="1.0" encoding="utf-8"?>
<calcChain xmlns="http://schemas.openxmlformats.org/spreadsheetml/2006/main">
  <c r="A2" i="1" l="1"/>
  <c r="B2" i="1"/>
  <c r="C2" i="1"/>
  <c r="D2" i="1"/>
  <c r="E2" i="1"/>
  <c r="F2" i="1"/>
  <c r="G2" i="1"/>
  <c r="H2" i="1"/>
  <c r="I2" i="1"/>
  <c r="J2" i="1"/>
  <c r="K2" i="1"/>
  <c r="L2" i="1"/>
  <c r="M2" i="1"/>
  <c r="A3" i="1"/>
  <c r="B3" i="1"/>
  <c r="C3" i="1"/>
  <c r="D3" i="1"/>
  <c r="E3" i="1"/>
  <c r="F3" i="1"/>
  <c r="G3" i="1"/>
  <c r="H3" i="1"/>
  <c r="I3" i="1"/>
  <c r="J3" i="1"/>
  <c r="K3" i="1"/>
  <c r="L3" i="1"/>
  <c r="M3" i="1"/>
  <c r="A4" i="1"/>
  <c r="B4" i="1"/>
  <c r="C4" i="1"/>
  <c r="D4" i="1"/>
  <c r="E4" i="1"/>
  <c r="F4" i="1"/>
  <c r="G4" i="1"/>
  <c r="H4" i="1"/>
  <c r="I4" i="1"/>
  <c r="J4" i="1"/>
  <c r="K4" i="1"/>
  <c r="L4" i="1"/>
  <c r="M4" i="1"/>
  <c r="A5" i="1"/>
  <c r="B5" i="1"/>
  <c r="C5" i="1"/>
  <c r="D5" i="1"/>
  <c r="E5" i="1"/>
  <c r="F5" i="1"/>
  <c r="G5" i="1"/>
  <c r="H5" i="1"/>
  <c r="I5" i="1"/>
  <c r="J5" i="1"/>
  <c r="K5" i="1"/>
  <c r="L5" i="1"/>
  <c r="M5" i="1"/>
  <c r="A6" i="1"/>
  <c r="B6" i="1"/>
  <c r="C6" i="1"/>
  <c r="D6" i="1"/>
  <c r="E6" i="1"/>
  <c r="F6" i="1"/>
  <c r="G6" i="1"/>
  <c r="H6" i="1"/>
  <c r="I6" i="1"/>
  <c r="J6" i="1"/>
  <c r="K6" i="1"/>
  <c r="L6" i="1"/>
  <c r="M6" i="1"/>
  <c r="A7" i="1"/>
  <c r="B7" i="1"/>
  <c r="C7" i="1"/>
  <c r="D7" i="1"/>
  <c r="E7" i="1"/>
  <c r="F7" i="1"/>
  <c r="G7" i="1"/>
  <c r="H7" i="1"/>
  <c r="I7" i="1"/>
  <c r="J7" i="1"/>
  <c r="K7" i="1"/>
  <c r="L7" i="1"/>
  <c r="M7" i="1"/>
  <c r="A8" i="1"/>
  <c r="B8" i="1"/>
  <c r="C8" i="1"/>
  <c r="D8" i="1"/>
  <c r="E8" i="1"/>
  <c r="F8" i="1"/>
  <c r="G8" i="1"/>
  <c r="H8" i="1"/>
  <c r="I8" i="1"/>
  <c r="J8" i="1"/>
  <c r="K8" i="1"/>
  <c r="L8" i="1"/>
  <c r="M8" i="1"/>
  <c r="A9" i="1"/>
  <c r="B9" i="1"/>
  <c r="C9" i="1"/>
  <c r="D9" i="1"/>
  <c r="E9" i="1"/>
  <c r="F9" i="1"/>
  <c r="G9" i="1"/>
  <c r="H9" i="1"/>
  <c r="I9" i="1"/>
  <c r="J9" i="1"/>
  <c r="K9" i="1"/>
  <c r="L9" i="1"/>
  <c r="M9" i="1"/>
  <c r="A10" i="1"/>
  <c r="B10" i="1"/>
  <c r="C10" i="1"/>
  <c r="D10" i="1"/>
  <c r="E10" i="1"/>
  <c r="F10" i="1"/>
  <c r="G10" i="1"/>
  <c r="H10" i="1"/>
  <c r="I10" i="1"/>
  <c r="J10" i="1"/>
  <c r="K10" i="1"/>
  <c r="L10" i="1"/>
  <c r="M10" i="1"/>
  <c r="A11" i="1"/>
  <c r="B11" i="1"/>
  <c r="C11" i="1"/>
  <c r="D11" i="1"/>
  <c r="E11" i="1"/>
  <c r="F11" i="1"/>
  <c r="G11" i="1"/>
  <c r="H11" i="1"/>
  <c r="I11" i="1"/>
  <c r="J11" i="1"/>
  <c r="K11" i="1"/>
  <c r="L11" i="1"/>
  <c r="M11" i="1"/>
  <c r="A12" i="1"/>
  <c r="B12" i="1"/>
  <c r="C12" i="1"/>
  <c r="D12" i="1"/>
  <c r="E12" i="1"/>
  <c r="F12" i="1"/>
  <c r="G12" i="1"/>
  <c r="H12" i="1"/>
  <c r="I12" i="1"/>
  <c r="J12" i="1"/>
  <c r="K12" i="1"/>
  <c r="L12" i="1"/>
  <c r="M12" i="1"/>
  <c r="A13" i="1"/>
  <c r="B13" i="1"/>
  <c r="C13" i="1"/>
  <c r="D13" i="1"/>
  <c r="E13" i="1"/>
  <c r="F13" i="1"/>
  <c r="G13" i="1"/>
  <c r="H13" i="1"/>
  <c r="I13" i="1"/>
  <c r="J13" i="1"/>
  <c r="K13" i="1"/>
  <c r="L13" i="1"/>
  <c r="M13" i="1"/>
  <c r="A14" i="1"/>
  <c r="B14" i="1"/>
  <c r="C14" i="1"/>
  <c r="D14" i="1"/>
  <c r="E14" i="1"/>
  <c r="F14" i="1"/>
  <c r="G14" i="1"/>
  <c r="H14" i="1"/>
  <c r="I14" i="1"/>
  <c r="J14" i="1"/>
  <c r="K14" i="1"/>
  <c r="L14" i="1"/>
  <c r="M14" i="1"/>
  <c r="A15" i="1"/>
  <c r="B15" i="1"/>
  <c r="C15" i="1"/>
  <c r="D15" i="1"/>
  <c r="E15" i="1"/>
  <c r="F15" i="1"/>
  <c r="G15" i="1"/>
  <c r="H15" i="1"/>
  <c r="I15" i="1"/>
  <c r="J15" i="1"/>
  <c r="K15" i="1"/>
  <c r="L15" i="1"/>
  <c r="M15" i="1"/>
  <c r="A16" i="1"/>
  <c r="B16" i="1"/>
  <c r="C16" i="1"/>
  <c r="D16" i="1"/>
  <c r="E16" i="1"/>
  <c r="F16" i="1"/>
  <c r="G16" i="1"/>
  <c r="H16" i="1"/>
  <c r="I16" i="1"/>
  <c r="J16" i="1"/>
  <c r="K16" i="1"/>
  <c r="L16" i="1"/>
  <c r="M16" i="1"/>
  <c r="A17" i="1"/>
  <c r="B17" i="1"/>
  <c r="C17" i="1"/>
  <c r="D17" i="1"/>
  <c r="E17" i="1"/>
  <c r="F17" i="1"/>
  <c r="G17" i="1"/>
  <c r="H17" i="1"/>
  <c r="I17" i="1"/>
  <c r="J17" i="1"/>
  <c r="K17" i="1"/>
  <c r="L17" i="1"/>
  <c r="M17" i="1"/>
  <c r="A18" i="1"/>
  <c r="B18" i="1"/>
  <c r="C18" i="1"/>
  <c r="D18" i="1"/>
  <c r="E18" i="1"/>
  <c r="F18" i="1"/>
  <c r="G18" i="1"/>
  <c r="H18" i="1"/>
  <c r="I18" i="1"/>
  <c r="J18" i="1"/>
  <c r="K18" i="1"/>
  <c r="L18" i="1"/>
  <c r="M18" i="1"/>
  <c r="A19" i="1"/>
  <c r="B19" i="1"/>
  <c r="C19" i="1"/>
  <c r="D19" i="1"/>
  <c r="E19" i="1"/>
  <c r="F19" i="1"/>
  <c r="G19" i="1"/>
  <c r="H19" i="1"/>
  <c r="I19" i="1"/>
  <c r="J19" i="1"/>
  <c r="K19" i="1"/>
  <c r="L19" i="1"/>
  <c r="M19" i="1"/>
  <c r="A20" i="1"/>
  <c r="B20" i="1"/>
  <c r="C20" i="1"/>
  <c r="D20" i="1"/>
  <c r="E20" i="1"/>
  <c r="F20" i="1"/>
  <c r="G20" i="1"/>
  <c r="H20" i="1"/>
  <c r="I20" i="1"/>
  <c r="J20" i="1"/>
  <c r="K20" i="1"/>
  <c r="L20" i="1"/>
  <c r="M20" i="1"/>
  <c r="A21" i="1"/>
  <c r="B21" i="1"/>
  <c r="C21" i="1"/>
  <c r="D21" i="1"/>
  <c r="E21" i="1"/>
  <c r="F21" i="1"/>
  <c r="G21" i="1"/>
  <c r="H21" i="1"/>
  <c r="I21" i="1"/>
  <c r="J21" i="1"/>
  <c r="K21" i="1"/>
  <c r="L21" i="1"/>
  <c r="M21" i="1"/>
  <c r="A22" i="1"/>
  <c r="B22" i="1"/>
  <c r="C22" i="1"/>
  <c r="D22" i="1"/>
  <c r="E22" i="1"/>
  <c r="F22" i="1"/>
  <c r="G22" i="1"/>
  <c r="H22" i="1"/>
  <c r="I22" i="1"/>
  <c r="J22" i="1"/>
  <c r="K22" i="1"/>
  <c r="L22" i="1"/>
  <c r="M22" i="1"/>
  <c r="A23" i="1"/>
  <c r="B23" i="1"/>
  <c r="C23" i="1"/>
  <c r="D23" i="1"/>
  <c r="E23" i="1"/>
  <c r="F23" i="1"/>
  <c r="G23" i="1"/>
  <c r="H23" i="1"/>
  <c r="I23" i="1"/>
  <c r="J23" i="1"/>
  <c r="K23" i="1"/>
  <c r="L23" i="1"/>
  <c r="M23" i="1"/>
  <c r="A24" i="1"/>
  <c r="B24" i="1"/>
  <c r="C24" i="1"/>
  <c r="D24" i="1"/>
  <c r="E24" i="1"/>
  <c r="F24" i="1"/>
  <c r="G24" i="1"/>
  <c r="H24" i="1"/>
  <c r="I24" i="1"/>
  <c r="J24" i="1"/>
  <c r="K24" i="1"/>
  <c r="L24" i="1"/>
  <c r="M24" i="1"/>
  <c r="A25" i="1"/>
  <c r="B25" i="1"/>
  <c r="C25" i="1"/>
  <c r="D25" i="1"/>
  <c r="E25" i="1"/>
  <c r="F25" i="1"/>
  <c r="G25" i="1"/>
  <c r="H25" i="1"/>
  <c r="I25" i="1"/>
  <c r="J25" i="1"/>
  <c r="K25" i="1"/>
  <c r="L25" i="1"/>
  <c r="M25" i="1"/>
  <c r="A26" i="1"/>
  <c r="B26" i="1"/>
  <c r="C26" i="1"/>
  <c r="D26" i="1"/>
  <c r="E26" i="1"/>
  <c r="F26" i="1"/>
  <c r="G26" i="1"/>
  <c r="H26" i="1"/>
  <c r="I26" i="1"/>
  <c r="J26" i="1"/>
  <c r="K26" i="1"/>
  <c r="L26" i="1"/>
  <c r="M26" i="1"/>
  <c r="A27" i="1"/>
  <c r="B27" i="1"/>
  <c r="C27" i="1"/>
  <c r="D27" i="1"/>
  <c r="E27" i="1"/>
  <c r="F27" i="1"/>
  <c r="G27" i="1"/>
  <c r="H27" i="1"/>
  <c r="I27" i="1"/>
  <c r="J27" i="1"/>
  <c r="K27" i="1"/>
  <c r="L27" i="1"/>
  <c r="M27" i="1"/>
  <c r="A28" i="1"/>
  <c r="B28" i="1"/>
  <c r="C28" i="1"/>
  <c r="D28" i="1"/>
  <c r="E28" i="1"/>
  <c r="F28" i="1"/>
  <c r="G28" i="1"/>
  <c r="H28" i="1"/>
  <c r="I28" i="1"/>
  <c r="J28" i="1"/>
  <c r="K28" i="1"/>
  <c r="L28" i="1"/>
  <c r="M28" i="1"/>
  <c r="A29" i="1"/>
  <c r="B29" i="1"/>
  <c r="C29" i="1"/>
  <c r="D29" i="1"/>
  <c r="E29" i="1"/>
  <c r="F29" i="1"/>
  <c r="G29" i="1"/>
  <c r="H29" i="1"/>
  <c r="I29" i="1"/>
  <c r="J29" i="1"/>
  <c r="K29" i="1"/>
  <c r="L29" i="1"/>
  <c r="M29" i="1"/>
  <c r="A30" i="1"/>
  <c r="B30" i="1"/>
  <c r="C30" i="1"/>
  <c r="D30" i="1"/>
  <c r="E30" i="1"/>
  <c r="F30" i="1"/>
  <c r="G30" i="1"/>
  <c r="H30" i="1"/>
  <c r="I30" i="1"/>
  <c r="J30" i="1"/>
  <c r="K30" i="1"/>
  <c r="L30" i="1"/>
  <c r="M30" i="1"/>
  <c r="A31" i="1"/>
  <c r="B31" i="1"/>
  <c r="C31" i="1"/>
  <c r="D31" i="1"/>
  <c r="E31" i="1"/>
  <c r="F31" i="1"/>
  <c r="G31" i="1"/>
  <c r="H31" i="1"/>
  <c r="I31" i="1"/>
  <c r="J31" i="1"/>
  <c r="K31" i="1"/>
  <c r="L31" i="1"/>
  <c r="M31" i="1"/>
  <c r="A32" i="1"/>
  <c r="B32" i="1"/>
  <c r="C32" i="1"/>
  <c r="D32" i="1"/>
  <c r="E32" i="1"/>
  <c r="F32" i="1"/>
  <c r="G32" i="1"/>
  <c r="H32" i="1"/>
  <c r="I32" i="1"/>
  <c r="J32" i="1"/>
  <c r="K32" i="1"/>
  <c r="L32" i="1"/>
  <c r="M32" i="1"/>
  <c r="A33" i="1"/>
  <c r="B33" i="1"/>
  <c r="C33" i="1"/>
  <c r="D33" i="1"/>
  <c r="E33" i="1"/>
  <c r="F33" i="1"/>
  <c r="G33" i="1"/>
  <c r="H33" i="1"/>
  <c r="I33" i="1"/>
  <c r="J33" i="1"/>
  <c r="K33" i="1"/>
  <c r="L33" i="1"/>
  <c r="M33" i="1"/>
  <c r="A34" i="1"/>
  <c r="B34" i="1"/>
  <c r="C34" i="1"/>
  <c r="D34" i="1"/>
  <c r="E34" i="1"/>
  <c r="F34" i="1"/>
  <c r="G34" i="1"/>
  <c r="H34" i="1"/>
  <c r="I34" i="1"/>
  <c r="J34" i="1"/>
  <c r="K34" i="1"/>
  <c r="L34" i="1"/>
  <c r="M34" i="1"/>
  <c r="A35" i="1"/>
  <c r="B35" i="1"/>
  <c r="C35" i="1"/>
  <c r="D35" i="1"/>
  <c r="E35" i="1"/>
  <c r="F35" i="1"/>
  <c r="G35" i="1"/>
  <c r="H35" i="1"/>
  <c r="I35" i="1"/>
  <c r="J35" i="1"/>
  <c r="K35" i="1"/>
  <c r="L35" i="1"/>
  <c r="M35" i="1"/>
  <c r="A36" i="1"/>
  <c r="B36" i="1"/>
  <c r="C36" i="1"/>
  <c r="D36" i="1"/>
  <c r="E36" i="1"/>
  <c r="F36" i="1"/>
  <c r="G36" i="1"/>
  <c r="H36" i="1"/>
  <c r="I36" i="1"/>
  <c r="J36" i="1"/>
  <c r="K36" i="1"/>
  <c r="L36" i="1"/>
  <c r="M36" i="1"/>
  <c r="A37" i="1"/>
  <c r="B37" i="1"/>
  <c r="C37" i="1"/>
  <c r="D37" i="1"/>
  <c r="E37" i="1"/>
  <c r="F37" i="1"/>
  <c r="G37" i="1"/>
  <c r="H37" i="1"/>
  <c r="I37" i="1"/>
  <c r="J37" i="1"/>
  <c r="K37" i="1"/>
  <c r="L37" i="1"/>
  <c r="M37" i="1"/>
  <c r="A38" i="1"/>
  <c r="B38" i="1"/>
  <c r="C38" i="1"/>
  <c r="D38" i="1"/>
  <c r="E38" i="1"/>
  <c r="F38" i="1"/>
  <c r="G38" i="1"/>
  <c r="H38" i="1"/>
  <c r="I38" i="1"/>
  <c r="J38" i="1"/>
  <c r="K38" i="1"/>
  <c r="L38" i="1"/>
  <c r="M38" i="1"/>
  <c r="A39" i="1"/>
  <c r="B39" i="1"/>
  <c r="C39" i="1"/>
  <c r="D39" i="1"/>
  <c r="E39" i="1"/>
  <c r="F39" i="1"/>
  <c r="G39" i="1"/>
  <c r="H39" i="1"/>
  <c r="I39" i="1"/>
  <c r="J39" i="1"/>
  <c r="K39" i="1"/>
  <c r="L39" i="1"/>
  <c r="M39" i="1"/>
  <c r="A40" i="1"/>
  <c r="B40" i="1"/>
  <c r="C40" i="1"/>
  <c r="D40" i="1"/>
  <c r="E40" i="1"/>
  <c r="F40" i="1"/>
  <c r="G40" i="1"/>
  <c r="H40" i="1"/>
  <c r="I40" i="1"/>
  <c r="J40" i="1"/>
  <c r="K40" i="1"/>
  <c r="L40" i="1"/>
  <c r="M40" i="1"/>
  <c r="A41" i="1"/>
  <c r="B41" i="1"/>
  <c r="C41" i="1"/>
  <c r="D41" i="1"/>
  <c r="E41" i="1"/>
  <c r="F41" i="1"/>
  <c r="G41" i="1"/>
  <c r="H41" i="1"/>
  <c r="I41" i="1"/>
  <c r="J41" i="1"/>
  <c r="K41" i="1"/>
  <c r="L41" i="1"/>
  <c r="M41" i="1"/>
  <c r="A42" i="1"/>
  <c r="B42" i="1"/>
  <c r="C42" i="1"/>
  <c r="D42" i="1"/>
  <c r="E42" i="1"/>
  <c r="F42" i="1"/>
  <c r="G42" i="1"/>
  <c r="H42" i="1"/>
  <c r="I42" i="1"/>
  <c r="J42" i="1"/>
  <c r="K42" i="1"/>
  <c r="L42" i="1"/>
  <c r="M42" i="1"/>
  <c r="A43" i="1"/>
  <c r="B43" i="1"/>
  <c r="C43" i="1"/>
  <c r="D43" i="1"/>
  <c r="E43" i="1"/>
  <c r="F43" i="1"/>
  <c r="G43" i="1"/>
  <c r="H43" i="1"/>
  <c r="I43" i="1"/>
  <c r="J43" i="1"/>
  <c r="K43" i="1"/>
  <c r="L43" i="1"/>
  <c r="M43" i="1"/>
  <c r="A44" i="1"/>
  <c r="B44" i="1"/>
  <c r="C44" i="1"/>
  <c r="D44" i="1"/>
  <c r="E44" i="1"/>
  <c r="F44" i="1"/>
  <c r="G44" i="1"/>
  <c r="H44" i="1"/>
  <c r="I44" i="1"/>
  <c r="J44" i="1"/>
  <c r="K44" i="1"/>
  <c r="L44" i="1"/>
  <c r="M44" i="1"/>
  <c r="A45" i="1"/>
  <c r="B45" i="1"/>
  <c r="C45" i="1"/>
  <c r="D45" i="1"/>
  <c r="E45" i="1"/>
  <c r="F45" i="1"/>
  <c r="G45" i="1"/>
  <c r="H45" i="1"/>
  <c r="I45" i="1"/>
  <c r="J45" i="1"/>
  <c r="K45" i="1"/>
  <c r="L45" i="1"/>
  <c r="M45" i="1"/>
  <c r="A46" i="1"/>
  <c r="B46" i="1"/>
  <c r="C46" i="1"/>
  <c r="D46" i="1"/>
  <c r="E46" i="1"/>
  <c r="F46" i="1"/>
  <c r="G46" i="1"/>
  <c r="H46" i="1"/>
  <c r="I46" i="1"/>
  <c r="J46" i="1"/>
  <c r="K46" i="1"/>
  <c r="L46" i="1"/>
  <c r="M46" i="1"/>
  <c r="A47" i="1"/>
  <c r="B47" i="1"/>
  <c r="C47" i="1"/>
  <c r="D47" i="1"/>
  <c r="E47" i="1"/>
  <c r="F47" i="1"/>
  <c r="G47" i="1"/>
  <c r="H47" i="1"/>
  <c r="I47" i="1"/>
  <c r="J47" i="1"/>
  <c r="K47" i="1"/>
  <c r="L47" i="1"/>
  <c r="M47" i="1"/>
  <c r="A48" i="1"/>
  <c r="B48" i="1"/>
  <c r="C48" i="1"/>
  <c r="D48" i="1"/>
  <c r="E48" i="1"/>
  <c r="F48" i="1"/>
  <c r="G48" i="1"/>
  <c r="H48" i="1"/>
  <c r="I48" i="1"/>
  <c r="J48" i="1"/>
  <c r="K48" i="1"/>
  <c r="L48" i="1"/>
  <c r="M48" i="1"/>
  <c r="A49" i="1"/>
  <c r="B49" i="1"/>
  <c r="C49" i="1"/>
  <c r="D49" i="1"/>
  <c r="E49" i="1"/>
  <c r="F49" i="1"/>
  <c r="G49" i="1"/>
  <c r="H49" i="1"/>
  <c r="I49" i="1"/>
  <c r="J49" i="1"/>
  <c r="K49" i="1"/>
  <c r="L49" i="1"/>
  <c r="M49" i="1"/>
  <c r="A50" i="1"/>
  <c r="B50" i="1"/>
  <c r="C50" i="1"/>
  <c r="D50" i="1"/>
  <c r="E50" i="1"/>
  <c r="F50" i="1"/>
  <c r="G50" i="1"/>
  <c r="H50" i="1"/>
  <c r="I50" i="1"/>
  <c r="J50" i="1"/>
  <c r="K50" i="1"/>
  <c r="L50" i="1"/>
  <c r="M50" i="1"/>
  <c r="A51" i="1"/>
  <c r="B51" i="1"/>
  <c r="C51" i="1"/>
  <c r="D51" i="1"/>
  <c r="E51" i="1"/>
  <c r="F51" i="1"/>
  <c r="G51" i="1"/>
  <c r="H51" i="1"/>
  <c r="I51" i="1"/>
  <c r="J51" i="1"/>
  <c r="K51" i="1"/>
  <c r="L51" i="1"/>
  <c r="M51" i="1"/>
  <c r="A52" i="1"/>
  <c r="B52" i="1"/>
  <c r="C52" i="1"/>
  <c r="D52" i="1"/>
  <c r="E52" i="1"/>
  <c r="F52" i="1"/>
  <c r="G52" i="1"/>
  <c r="H52" i="1"/>
  <c r="I52" i="1"/>
  <c r="J52" i="1"/>
  <c r="K52" i="1"/>
  <c r="L52" i="1"/>
  <c r="M52" i="1"/>
  <c r="A53" i="1"/>
  <c r="B53" i="1"/>
  <c r="C53" i="1"/>
  <c r="D53" i="1"/>
  <c r="E53" i="1"/>
  <c r="F53" i="1"/>
  <c r="G53" i="1"/>
  <c r="H53" i="1"/>
  <c r="I53" i="1"/>
  <c r="J53" i="1"/>
  <c r="K53" i="1"/>
  <c r="L53" i="1"/>
  <c r="M53" i="1"/>
  <c r="A54" i="1"/>
  <c r="B54" i="1"/>
  <c r="C54" i="1"/>
  <c r="D54" i="1"/>
  <c r="E54" i="1"/>
  <c r="F54" i="1"/>
  <c r="G54" i="1"/>
  <c r="H54" i="1"/>
  <c r="I54" i="1"/>
  <c r="J54" i="1"/>
  <c r="K54" i="1"/>
  <c r="L54" i="1"/>
  <c r="M54" i="1"/>
  <c r="A55" i="1"/>
  <c r="B55" i="1"/>
  <c r="C55" i="1"/>
  <c r="D55" i="1"/>
  <c r="E55" i="1"/>
  <c r="F55" i="1"/>
  <c r="G55" i="1"/>
  <c r="H55" i="1"/>
  <c r="I55" i="1"/>
  <c r="J55" i="1"/>
  <c r="K55" i="1"/>
  <c r="L55" i="1"/>
  <c r="M55" i="1"/>
  <c r="A56" i="1"/>
  <c r="B56" i="1"/>
  <c r="C56" i="1"/>
  <c r="D56" i="1"/>
  <c r="E56" i="1"/>
  <c r="F56" i="1"/>
  <c r="G56" i="1"/>
  <c r="H56" i="1"/>
  <c r="I56" i="1"/>
  <c r="J56" i="1"/>
  <c r="K56" i="1"/>
  <c r="L56" i="1"/>
  <c r="M56" i="1"/>
  <c r="A57" i="1"/>
  <c r="B57" i="1"/>
  <c r="C57" i="1"/>
  <c r="D57" i="1"/>
  <c r="E57" i="1"/>
  <c r="F57" i="1"/>
  <c r="G57" i="1"/>
  <c r="H57" i="1"/>
  <c r="I57" i="1"/>
  <c r="J57" i="1"/>
  <c r="K57" i="1"/>
  <c r="L57" i="1"/>
  <c r="M57" i="1"/>
  <c r="A58" i="1"/>
  <c r="B58" i="1"/>
  <c r="C58" i="1"/>
  <c r="D58" i="1"/>
  <c r="E58" i="1"/>
  <c r="F58" i="1"/>
  <c r="G58" i="1"/>
  <c r="H58" i="1"/>
  <c r="I58" i="1"/>
  <c r="J58" i="1"/>
  <c r="K58" i="1"/>
  <c r="L58" i="1"/>
  <c r="M58" i="1"/>
  <c r="A59" i="1"/>
  <c r="B59" i="1"/>
  <c r="C59" i="1"/>
  <c r="D59" i="1"/>
  <c r="E59" i="1"/>
  <c r="F59" i="1"/>
  <c r="G59" i="1"/>
  <c r="H59" i="1"/>
  <c r="I59" i="1"/>
  <c r="J59" i="1"/>
  <c r="K59" i="1"/>
  <c r="L59" i="1"/>
  <c r="M59" i="1"/>
  <c r="A60" i="1"/>
  <c r="B60" i="1"/>
  <c r="C60" i="1"/>
  <c r="D60" i="1"/>
  <c r="E60" i="1"/>
  <c r="F60" i="1"/>
  <c r="G60" i="1"/>
  <c r="H60" i="1"/>
  <c r="I60" i="1"/>
  <c r="J60" i="1"/>
  <c r="K60" i="1"/>
  <c r="L60" i="1"/>
  <c r="M60" i="1"/>
  <c r="A61" i="1"/>
  <c r="B61" i="1"/>
  <c r="C61" i="1"/>
  <c r="D61" i="1"/>
  <c r="E61" i="1"/>
  <c r="F61" i="1"/>
  <c r="G61" i="1"/>
  <c r="H61" i="1"/>
  <c r="I61" i="1"/>
  <c r="J61" i="1"/>
  <c r="K61" i="1"/>
  <c r="L61" i="1"/>
  <c r="M61" i="1"/>
  <c r="A62" i="1"/>
  <c r="B62" i="1"/>
  <c r="C62" i="1"/>
  <c r="D62" i="1"/>
  <c r="E62" i="1"/>
  <c r="F62" i="1"/>
  <c r="G62" i="1"/>
  <c r="H62" i="1"/>
  <c r="I62" i="1"/>
  <c r="J62" i="1"/>
  <c r="K62" i="1"/>
  <c r="L62" i="1"/>
  <c r="M62" i="1"/>
  <c r="A63" i="1"/>
  <c r="B63" i="1"/>
  <c r="C63" i="1"/>
  <c r="D63" i="1"/>
  <c r="E63" i="1"/>
  <c r="F63" i="1"/>
  <c r="G63" i="1"/>
  <c r="H63" i="1"/>
  <c r="I63" i="1"/>
  <c r="J63" i="1"/>
  <c r="K63" i="1"/>
  <c r="L63" i="1"/>
  <c r="M63" i="1"/>
  <c r="A64" i="1"/>
  <c r="B64" i="1"/>
  <c r="C64" i="1"/>
  <c r="D64" i="1"/>
  <c r="E64" i="1"/>
  <c r="F64" i="1"/>
  <c r="G64" i="1"/>
  <c r="H64" i="1"/>
  <c r="I64" i="1"/>
  <c r="J64" i="1"/>
  <c r="K64" i="1"/>
  <c r="L64" i="1"/>
  <c r="M64" i="1"/>
  <c r="A65" i="1"/>
  <c r="B65" i="1"/>
  <c r="C65" i="1"/>
  <c r="D65" i="1"/>
  <c r="E65" i="1"/>
  <c r="F65" i="1"/>
  <c r="G65" i="1"/>
  <c r="H65" i="1"/>
  <c r="I65" i="1"/>
  <c r="J65" i="1"/>
  <c r="K65" i="1"/>
  <c r="L65" i="1"/>
  <c r="M65" i="1"/>
  <c r="A66" i="1"/>
  <c r="B66" i="1"/>
  <c r="C66" i="1"/>
  <c r="D66" i="1"/>
  <c r="E66" i="1"/>
  <c r="F66" i="1"/>
  <c r="G66" i="1"/>
  <c r="H66" i="1"/>
  <c r="I66" i="1"/>
  <c r="J66" i="1"/>
  <c r="K66" i="1"/>
  <c r="L66" i="1"/>
  <c r="M66" i="1"/>
  <c r="A67" i="1"/>
  <c r="B67" i="1"/>
  <c r="C67" i="1"/>
  <c r="D67" i="1"/>
  <c r="E67" i="1"/>
  <c r="F67" i="1"/>
  <c r="G67" i="1"/>
  <c r="H67" i="1"/>
  <c r="I67" i="1"/>
  <c r="J67" i="1"/>
  <c r="K67" i="1"/>
  <c r="L67" i="1"/>
  <c r="M67" i="1"/>
  <c r="A68" i="1"/>
  <c r="B68" i="1"/>
  <c r="C68" i="1"/>
  <c r="D68" i="1"/>
  <c r="E68" i="1"/>
  <c r="F68" i="1"/>
  <c r="G68" i="1"/>
  <c r="H68" i="1"/>
  <c r="I68" i="1"/>
  <c r="J68" i="1"/>
  <c r="K68" i="1"/>
  <c r="L68" i="1"/>
  <c r="M68" i="1"/>
  <c r="A69" i="1"/>
  <c r="B69" i="1"/>
  <c r="C69" i="1"/>
  <c r="D69" i="1"/>
  <c r="E69" i="1"/>
  <c r="F69" i="1"/>
  <c r="G69" i="1"/>
  <c r="H69" i="1"/>
  <c r="I69" i="1"/>
  <c r="J69" i="1"/>
  <c r="K69" i="1"/>
  <c r="L69" i="1"/>
  <c r="M69" i="1"/>
  <c r="A70" i="1"/>
  <c r="B70" i="1"/>
  <c r="C70" i="1"/>
  <c r="D70" i="1"/>
  <c r="E70" i="1"/>
  <c r="F70" i="1"/>
  <c r="G70" i="1"/>
  <c r="H70" i="1"/>
  <c r="I70" i="1"/>
  <c r="J70" i="1"/>
  <c r="K70" i="1"/>
  <c r="L70" i="1"/>
  <c r="M70" i="1"/>
  <c r="A71" i="1"/>
  <c r="B71" i="1"/>
  <c r="C71" i="1"/>
  <c r="D71" i="1"/>
  <c r="E71" i="1"/>
  <c r="F71" i="1"/>
  <c r="G71" i="1"/>
  <c r="H71" i="1"/>
  <c r="I71" i="1"/>
  <c r="J71" i="1"/>
  <c r="K71" i="1"/>
  <c r="L71" i="1"/>
  <c r="M71" i="1"/>
  <c r="A72" i="1"/>
  <c r="B72" i="1"/>
  <c r="C72" i="1"/>
  <c r="D72" i="1"/>
  <c r="E72" i="1"/>
  <c r="F72" i="1"/>
  <c r="G72" i="1"/>
  <c r="H72" i="1"/>
  <c r="I72" i="1"/>
  <c r="J72" i="1"/>
  <c r="K72" i="1"/>
  <c r="L72" i="1"/>
  <c r="M72" i="1"/>
  <c r="A73" i="1"/>
  <c r="B73" i="1"/>
  <c r="C73" i="1"/>
  <c r="D73" i="1"/>
  <c r="E73" i="1"/>
  <c r="F73" i="1"/>
  <c r="G73" i="1"/>
  <c r="H73" i="1"/>
  <c r="I73" i="1"/>
  <c r="J73" i="1"/>
  <c r="K73" i="1"/>
  <c r="L73" i="1"/>
  <c r="M73" i="1"/>
  <c r="A74" i="1"/>
  <c r="B74" i="1"/>
  <c r="C74" i="1"/>
  <c r="D74" i="1"/>
  <c r="E74" i="1"/>
  <c r="F74" i="1"/>
  <c r="G74" i="1"/>
  <c r="H74" i="1"/>
  <c r="I74" i="1"/>
  <c r="J74" i="1"/>
  <c r="K74" i="1"/>
  <c r="L74" i="1"/>
  <c r="M74" i="1"/>
  <c r="A75" i="1"/>
  <c r="B75" i="1"/>
  <c r="C75" i="1"/>
  <c r="D75" i="1"/>
  <c r="E75" i="1"/>
  <c r="F75" i="1"/>
  <c r="G75" i="1"/>
  <c r="H75" i="1"/>
  <c r="I75" i="1"/>
  <c r="J75" i="1"/>
  <c r="K75" i="1"/>
  <c r="L75" i="1"/>
  <c r="M75" i="1"/>
  <c r="A76" i="1"/>
  <c r="B76" i="1"/>
  <c r="C76" i="1"/>
  <c r="D76" i="1"/>
  <c r="E76" i="1"/>
  <c r="F76" i="1"/>
  <c r="G76" i="1"/>
  <c r="H76" i="1"/>
  <c r="I76" i="1"/>
  <c r="J76" i="1"/>
  <c r="K76" i="1"/>
  <c r="L76" i="1"/>
  <c r="M76" i="1"/>
  <c r="A77" i="1"/>
  <c r="B77" i="1"/>
  <c r="C77" i="1"/>
  <c r="D77" i="1"/>
  <c r="E77" i="1"/>
  <c r="F77" i="1"/>
  <c r="G77" i="1"/>
  <c r="H77" i="1"/>
  <c r="I77" i="1"/>
  <c r="J77" i="1"/>
  <c r="K77" i="1"/>
  <c r="L77" i="1"/>
  <c r="M77" i="1"/>
  <c r="A78" i="1"/>
  <c r="B78" i="1"/>
  <c r="C78" i="1"/>
  <c r="D78" i="1"/>
  <c r="E78" i="1"/>
  <c r="F78" i="1"/>
  <c r="G78" i="1"/>
  <c r="H78" i="1"/>
  <c r="I78" i="1"/>
  <c r="J78" i="1"/>
  <c r="K78" i="1"/>
  <c r="L78" i="1"/>
  <c r="M78" i="1"/>
  <c r="A79" i="1"/>
  <c r="B79" i="1"/>
  <c r="C79" i="1"/>
  <c r="D79" i="1"/>
  <c r="E79" i="1"/>
  <c r="F79" i="1"/>
  <c r="G79" i="1"/>
  <c r="H79" i="1"/>
  <c r="I79" i="1"/>
  <c r="J79" i="1"/>
  <c r="K79" i="1"/>
  <c r="L79" i="1"/>
  <c r="M79" i="1"/>
  <c r="A80" i="1"/>
  <c r="B80" i="1"/>
  <c r="C80" i="1"/>
  <c r="D80" i="1"/>
  <c r="E80" i="1"/>
  <c r="F80" i="1"/>
  <c r="G80" i="1"/>
  <c r="H80" i="1"/>
  <c r="I80" i="1"/>
  <c r="J80" i="1"/>
  <c r="K80" i="1"/>
  <c r="L80" i="1"/>
  <c r="M80" i="1"/>
  <c r="A81" i="1"/>
  <c r="B81" i="1"/>
  <c r="C81" i="1"/>
  <c r="D81" i="1"/>
  <c r="E81" i="1"/>
  <c r="F81" i="1"/>
  <c r="G81" i="1"/>
  <c r="H81" i="1"/>
  <c r="I81" i="1"/>
  <c r="J81" i="1"/>
  <c r="K81" i="1"/>
  <c r="L81" i="1"/>
  <c r="M81" i="1"/>
  <c r="A82" i="1"/>
  <c r="B82" i="1"/>
  <c r="C82" i="1"/>
  <c r="D82" i="1"/>
  <c r="E82" i="1"/>
  <c r="F82" i="1"/>
  <c r="G82" i="1"/>
  <c r="H82" i="1"/>
  <c r="I82" i="1"/>
  <c r="J82" i="1"/>
  <c r="K82" i="1"/>
  <c r="L82" i="1"/>
  <c r="M82" i="1"/>
  <c r="A83" i="1"/>
  <c r="B83" i="1"/>
  <c r="C83" i="1"/>
  <c r="D83" i="1"/>
  <c r="E83" i="1"/>
  <c r="F83" i="1"/>
  <c r="G83" i="1"/>
  <c r="H83" i="1"/>
  <c r="I83" i="1"/>
  <c r="J83" i="1"/>
  <c r="K83" i="1"/>
  <c r="L83" i="1"/>
  <c r="M83" i="1"/>
  <c r="A84" i="1"/>
  <c r="B84" i="1"/>
  <c r="C84" i="1"/>
  <c r="D84" i="1"/>
  <c r="E84" i="1"/>
  <c r="F84" i="1"/>
  <c r="G84" i="1"/>
  <c r="H84" i="1"/>
  <c r="I84" i="1"/>
  <c r="J84" i="1"/>
  <c r="K84" i="1"/>
  <c r="L84" i="1"/>
  <c r="M84" i="1"/>
  <c r="A85" i="1"/>
  <c r="B85" i="1"/>
  <c r="C85" i="1"/>
  <c r="D85" i="1"/>
  <c r="E85" i="1"/>
  <c r="F85" i="1"/>
  <c r="G85" i="1"/>
  <c r="H85" i="1"/>
  <c r="I85" i="1"/>
  <c r="J85" i="1"/>
  <c r="K85" i="1"/>
  <c r="L85" i="1"/>
  <c r="M85" i="1"/>
  <c r="A86" i="1"/>
  <c r="B86" i="1"/>
  <c r="C86" i="1"/>
  <c r="D86" i="1"/>
  <c r="E86" i="1"/>
  <c r="F86" i="1"/>
  <c r="G86" i="1"/>
  <c r="H86" i="1"/>
  <c r="I86" i="1"/>
  <c r="J86" i="1"/>
  <c r="K86" i="1"/>
  <c r="L86" i="1"/>
  <c r="M86" i="1"/>
  <c r="A87" i="1"/>
  <c r="B87" i="1"/>
  <c r="C87" i="1"/>
  <c r="D87" i="1"/>
  <c r="E87" i="1"/>
  <c r="F87" i="1"/>
  <c r="G87" i="1"/>
  <c r="H87" i="1"/>
  <c r="I87" i="1"/>
  <c r="J87" i="1"/>
  <c r="K87" i="1"/>
  <c r="L87" i="1"/>
  <c r="M87" i="1"/>
  <c r="A88" i="1"/>
  <c r="B88" i="1"/>
  <c r="C88" i="1"/>
  <c r="D88" i="1"/>
  <c r="E88" i="1"/>
  <c r="F88" i="1"/>
  <c r="G88" i="1"/>
  <c r="H88" i="1"/>
  <c r="I88" i="1"/>
  <c r="J88" i="1"/>
  <c r="K88" i="1"/>
  <c r="L88" i="1"/>
  <c r="M88" i="1"/>
  <c r="A89" i="1"/>
  <c r="B89" i="1"/>
  <c r="C89" i="1"/>
  <c r="D89" i="1"/>
  <c r="E89" i="1"/>
  <c r="F89" i="1"/>
  <c r="G89" i="1"/>
  <c r="H89" i="1"/>
  <c r="I89" i="1"/>
  <c r="J89" i="1"/>
  <c r="K89" i="1"/>
  <c r="L89" i="1"/>
  <c r="M89" i="1"/>
  <c r="A90" i="1"/>
  <c r="B90" i="1"/>
  <c r="C90" i="1"/>
  <c r="D90" i="1"/>
  <c r="E90" i="1"/>
  <c r="F90" i="1"/>
  <c r="G90" i="1"/>
  <c r="H90" i="1"/>
  <c r="I90" i="1"/>
  <c r="J90" i="1"/>
  <c r="K90" i="1"/>
  <c r="L90" i="1"/>
  <c r="M90" i="1"/>
  <c r="A91" i="1"/>
  <c r="B91" i="1"/>
  <c r="C91" i="1"/>
  <c r="D91" i="1"/>
  <c r="E91" i="1"/>
  <c r="F91" i="1"/>
  <c r="G91" i="1"/>
  <c r="H91" i="1"/>
  <c r="I91" i="1"/>
  <c r="J91" i="1"/>
  <c r="K91" i="1"/>
  <c r="L91" i="1"/>
  <c r="M91" i="1"/>
  <c r="A92" i="1"/>
  <c r="B92" i="1"/>
  <c r="C92" i="1"/>
  <c r="D92" i="1"/>
  <c r="E92" i="1"/>
  <c r="F92" i="1"/>
  <c r="G92" i="1"/>
  <c r="H92" i="1"/>
  <c r="I92" i="1"/>
  <c r="J92" i="1"/>
  <c r="K92" i="1"/>
  <c r="L92" i="1"/>
  <c r="M92" i="1"/>
  <c r="A93" i="1"/>
  <c r="B93" i="1"/>
  <c r="C93" i="1"/>
  <c r="D93" i="1"/>
  <c r="E93" i="1"/>
  <c r="F93" i="1"/>
  <c r="G93" i="1"/>
  <c r="H93" i="1"/>
  <c r="I93" i="1"/>
  <c r="J93" i="1"/>
  <c r="K93" i="1"/>
  <c r="L93" i="1"/>
  <c r="M93" i="1"/>
  <c r="A94" i="1"/>
  <c r="B94" i="1"/>
  <c r="C94" i="1"/>
  <c r="D94" i="1"/>
  <c r="E94" i="1"/>
  <c r="F94" i="1"/>
  <c r="G94" i="1"/>
  <c r="H94" i="1"/>
  <c r="I94" i="1"/>
  <c r="J94" i="1"/>
  <c r="K94" i="1"/>
  <c r="L94" i="1"/>
  <c r="M94" i="1"/>
  <c r="A95" i="1"/>
  <c r="B95" i="1"/>
  <c r="C95" i="1"/>
  <c r="D95" i="1"/>
  <c r="E95" i="1"/>
  <c r="F95" i="1"/>
  <c r="G95" i="1"/>
  <c r="H95" i="1"/>
  <c r="I95" i="1"/>
  <c r="J95" i="1"/>
  <c r="K95" i="1"/>
  <c r="L95" i="1"/>
  <c r="M95" i="1"/>
  <c r="A96" i="1"/>
  <c r="B96" i="1"/>
  <c r="C96" i="1"/>
  <c r="D96" i="1"/>
  <c r="E96" i="1"/>
  <c r="F96" i="1"/>
  <c r="G96" i="1"/>
  <c r="H96" i="1"/>
  <c r="I96" i="1"/>
  <c r="J96" i="1"/>
  <c r="K96" i="1"/>
  <c r="L96" i="1"/>
  <c r="M96" i="1"/>
  <c r="A97" i="1"/>
  <c r="B97" i="1"/>
  <c r="C97" i="1"/>
  <c r="D97" i="1"/>
  <c r="E97" i="1"/>
  <c r="F97" i="1"/>
  <c r="G97" i="1"/>
  <c r="H97" i="1"/>
  <c r="I97" i="1"/>
  <c r="J97" i="1"/>
  <c r="K97" i="1"/>
  <c r="L97" i="1"/>
  <c r="M97" i="1"/>
  <c r="A98" i="1"/>
  <c r="B98" i="1"/>
  <c r="C98" i="1"/>
  <c r="D98" i="1"/>
  <c r="E98" i="1"/>
  <c r="F98" i="1"/>
  <c r="G98" i="1"/>
  <c r="H98" i="1"/>
  <c r="I98" i="1"/>
  <c r="J98" i="1"/>
  <c r="K98" i="1"/>
  <c r="L98" i="1"/>
  <c r="M98" i="1"/>
  <c r="A99" i="1"/>
  <c r="B99" i="1"/>
  <c r="C99" i="1"/>
  <c r="D99" i="1"/>
  <c r="E99" i="1"/>
  <c r="F99" i="1"/>
  <c r="G99" i="1"/>
  <c r="H99" i="1"/>
  <c r="I99" i="1"/>
  <c r="J99" i="1"/>
  <c r="K99" i="1"/>
  <c r="L99" i="1"/>
  <c r="M99" i="1"/>
  <c r="A100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A101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A102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A103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A104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A105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A106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A107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A108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A109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A110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A111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A112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A113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A114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A115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A116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A117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A118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A119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A120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A121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A122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A123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A124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A125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A126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A127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A128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A129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A130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A131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A132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A133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A134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A135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A136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A137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A138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A139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A140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A141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A142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A143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A144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A145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A146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A147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A148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A149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A150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A151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A152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A153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A154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A155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A156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A157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A158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A159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A160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A161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A162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A163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A164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A165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A166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A167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A168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A169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A170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A171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A172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A173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A174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A175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A176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A177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A178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A179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A180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A181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A182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A183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A184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A185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A186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A187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A188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A189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A190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A191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A192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A193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A194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A195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A196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A197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A198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A199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A200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A201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A202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A203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A204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A205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A206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A207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A208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A209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A210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A211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A212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A213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A214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A215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A216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A217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A218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A219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A220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A221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A222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A223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A224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A225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A226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A227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A228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A229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A230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A231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A232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A233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A234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A235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A236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A237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A238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A239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A240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A241" i="1"/>
  <c r="B241" i="1"/>
  <c r="C241" i="1"/>
  <c r="D241" i="1"/>
  <c r="E241" i="1"/>
  <c r="F241" i="1"/>
  <c r="G241" i="1"/>
  <c r="H241" i="1"/>
  <c r="I241" i="1"/>
  <c r="J241" i="1"/>
  <c r="K241" i="1"/>
  <c r="L241" i="1"/>
  <c r="M241" i="1"/>
  <c r="A242" i="1"/>
  <c r="B242" i="1"/>
  <c r="C242" i="1"/>
  <c r="D242" i="1"/>
  <c r="E242" i="1"/>
  <c r="F242" i="1"/>
  <c r="G242" i="1"/>
  <c r="H242" i="1"/>
  <c r="I242" i="1"/>
  <c r="J242" i="1"/>
  <c r="K242" i="1"/>
  <c r="L242" i="1"/>
  <c r="M242" i="1"/>
  <c r="A243" i="1"/>
  <c r="B243" i="1"/>
  <c r="C243" i="1"/>
  <c r="D243" i="1"/>
  <c r="E243" i="1"/>
  <c r="F243" i="1"/>
  <c r="G243" i="1"/>
  <c r="H243" i="1"/>
  <c r="I243" i="1"/>
  <c r="J243" i="1"/>
  <c r="K243" i="1"/>
  <c r="L243" i="1"/>
  <c r="M243" i="1"/>
  <c r="A244" i="1"/>
  <c r="B244" i="1"/>
  <c r="C244" i="1"/>
  <c r="D244" i="1"/>
  <c r="E244" i="1"/>
  <c r="F244" i="1"/>
  <c r="G244" i="1"/>
  <c r="H244" i="1"/>
  <c r="I244" i="1"/>
  <c r="J244" i="1"/>
  <c r="K244" i="1"/>
  <c r="L244" i="1"/>
  <c r="M244" i="1"/>
  <c r="A245" i="1"/>
  <c r="B245" i="1"/>
  <c r="C245" i="1"/>
  <c r="D245" i="1"/>
  <c r="E245" i="1"/>
  <c r="F245" i="1"/>
  <c r="G245" i="1"/>
  <c r="H245" i="1"/>
  <c r="I245" i="1"/>
  <c r="J245" i="1"/>
  <c r="K245" i="1"/>
  <c r="L245" i="1"/>
  <c r="M245" i="1"/>
  <c r="A246" i="1"/>
  <c r="B246" i="1"/>
  <c r="C246" i="1"/>
  <c r="D246" i="1"/>
  <c r="E246" i="1"/>
  <c r="F246" i="1"/>
  <c r="G246" i="1"/>
  <c r="H246" i="1"/>
  <c r="I246" i="1"/>
  <c r="J246" i="1"/>
  <c r="K246" i="1"/>
  <c r="L246" i="1"/>
  <c r="M246" i="1"/>
  <c r="A247" i="1"/>
  <c r="B247" i="1"/>
  <c r="C247" i="1"/>
  <c r="D247" i="1"/>
  <c r="E247" i="1"/>
  <c r="F247" i="1"/>
  <c r="G247" i="1"/>
  <c r="H247" i="1"/>
  <c r="I247" i="1"/>
  <c r="J247" i="1"/>
  <c r="K247" i="1"/>
  <c r="L247" i="1"/>
  <c r="M247" i="1"/>
  <c r="A248" i="1"/>
  <c r="B248" i="1"/>
  <c r="C248" i="1"/>
  <c r="D248" i="1"/>
  <c r="E248" i="1"/>
  <c r="F248" i="1"/>
  <c r="G248" i="1"/>
  <c r="H248" i="1"/>
  <c r="I248" i="1"/>
  <c r="J248" i="1"/>
  <c r="K248" i="1"/>
  <c r="L248" i="1"/>
  <c r="M248" i="1"/>
  <c r="A249" i="1"/>
  <c r="B249" i="1"/>
  <c r="C249" i="1"/>
  <c r="D249" i="1"/>
  <c r="E249" i="1"/>
  <c r="F249" i="1"/>
  <c r="G249" i="1"/>
  <c r="H249" i="1"/>
  <c r="I249" i="1"/>
  <c r="J249" i="1"/>
  <c r="K249" i="1"/>
  <c r="L249" i="1"/>
  <c r="M249" i="1"/>
  <c r="A250" i="1"/>
  <c r="B250" i="1"/>
  <c r="C250" i="1"/>
  <c r="D250" i="1"/>
  <c r="E250" i="1"/>
  <c r="F250" i="1"/>
  <c r="G250" i="1"/>
  <c r="H250" i="1"/>
  <c r="I250" i="1"/>
  <c r="J250" i="1"/>
  <c r="K250" i="1"/>
  <c r="L250" i="1"/>
  <c r="M250" i="1"/>
  <c r="A251" i="1"/>
  <c r="B251" i="1"/>
  <c r="C251" i="1"/>
  <c r="D251" i="1"/>
  <c r="E251" i="1"/>
  <c r="F251" i="1"/>
  <c r="G251" i="1"/>
  <c r="H251" i="1"/>
  <c r="I251" i="1"/>
  <c r="J251" i="1"/>
  <c r="K251" i="1"/>
  <c r="L251" i="1"/>
  <c r="M251" i="1"/>
  <c r="A252" i="1"/>
  <c r="B252" i="1"/>
  <c r="C252" i="1"/>
  <c r="D252" i="1"/>
  <c r="E252" i="1"/>
  <c r="F252" i="1"/>
  <c r="G252" i="1"/>
  <c r="H252" i="1"/>
  <c r="I252" i="1"/>
  <c r="J252" i="1"/>
  <c r="K252" i="1"/>
  <c r="L252" i="1"/>
  <c r="M252" i="1"/>
  <c r="A253" i="1"/>
  <c r="B253" i="1"/>
  <c r="C253" i="1"/>
  <c r="D253" i="1"/>
  <c r="E253" i="1"/>
  <c r="F253" i="1"/>
  <c r="G253" i="1"/>
  <c r="H253" i="1"/>
  <c r="I253" i="1"/>
  <c r="J253" i="1"/>
  <c r="K253" i="1"/>
  <c r="L253" i="1"/>
  <c r="M253" i="1"/>
  <c r="A254" i="1"/>
  <c r="B254" i="1"/>
  <c r="C254" i="1"/>
  <c r="D254" i="1"/>
  <c r="E254" i="1"/>
  <c r="F254" i="1"/>
  <c r="G254" i="1"/>
  <c r="H254" i="1"/>
  <c r="I254" i="1"/>
  <c r="J254" i="1"/>
  <c r="K254" i="1"/>
  <c r="L254" i="1"/>
  <c r="M254" i="1"/>
  <c r="A255" i="1"/>
  <c r="B255" i="1"/>
  <c r="C255" i="1"/>
  <c r="D255" i="1"/>
  <c r="E255" i="1"/>
  <c r="F255" i="1"/>
  <c r="G255" i="1"/>
  <c r="H255" i="1"/>
  <c r="I255" i="1"/>
  <c r="J255" i="1"/>
  <c r="K255" i="1"/>
  <c r="L255" i="1"/>
  <c r="M255" i="1"/>
  <c r="A256" i="1"/>
  <c r="B256" i="1"/>
  <c r="C256" i="1"/>
  <c r="D256" i="1"/>
  <c r="E256" i="1"/>
  <c r="F256" i="1"/>
  <c r="G256" i="1"/>
  <c r="H256" i="1"/>
  <c r="I256" i="1"/>
  <c r="J256" i="1"/>
  <c r="K256" i="1"/>
  <c r="L256" i="1"/>
  <c r="M256" i="1"/>
  <c r="A257" i="1"/>
  <c r="B257" i="1"/>
  <c r="C257" i="1"/>
  <c r="D257" i="1"/>
  <c r="E257" i="1"/>
  <c r="F257" i="1"/>
  <c r="G257" i="1"/>
  <c r="H257" i="1"/>
  <c r="I257" i="1"/>
  <c r="J257" i="1"/>
  <c r="K257" i="1"/>
  <c r="L257" i="1"/>
  <c r="M257" i="1"/>
  <c r="A258" i="1"/>
  <c r="B258" i="1"/>
  <c r="C258" i="1"/>
  <c r="D258" i="1"/>
  <c r="E258" i="1"/>
  <c r="F258" i="1"/>
  <c r="G258" i="1"/>
  <c r="H258" i="1"/>
  <c r="I258" i="1"/>
  <c r="J258" i="1"/>
  <c r="K258" i="1"/>
  <c r="L258" i="1"/>
  <c r="M258" i="1"/>
  <c r="A259" i="1"/>
  <c r="B259" i="1"/>
  <c r="C259" i="1"/>
  <c r="D259" i="1"/>
  <c r="E259" i="1"/>
  <c r="F259" i="1"/>
  <c r="G259" i="1"/>
  <c r="H259" i="1"/>
  <c r="I259" i="1"/>
  <c r="J259" i="1"/>
  <c r="K259" i="1"/>
  <c r="L259" i="1"/>
  <c r="M259" i="1"/>
  <c r="A260" i="1"/>
  <c r="B260" i="1"/>
  <c r="C260" i="1"/>
  <c r="D260" i="1"/>
  <c r="E260" i="1"/>
  <c r="F260" i="1"/>
  <c r="G260" i="1"/>
  <c r="H260" i="1"/>
  <c r="I260" i="1"/>
  <c r="J260" i="1"/>
  <c r="K260" i="1"/>
  <c r="L260" i="1"/>
  <c r="M260" i="1"/>
  <c r="A261" i="1"/>
  <c r="B261" i="1"/>
  <c r="C261" i="1"/>
  <c r="D261" i="1"/>
  <c r="E261" i="1"/>
  <c r="F261" i="1"/>
  <c r="G261" i="1"/>
  <c r="H261" i="1"/>
  <c r="I261" i="1"/>
  <c r="J261" i="1"/>
  <c r="K261" i="1"/>
  <c r="L261" i="1"/>
  <c r="M261" i="1"/>
  <c r="A262" i="1"/>
  <c r="B262" i="1"/>
  <c r="C262" i="1"/>
  <c r="D262" i="1"/>
  <c r="E262" i="1"/>
  <c r="F262" i="1"/>
  <c r="G262" i="1"/>
  <c r="H262" i="1"/>
  <c r="I262" i="1"/>
  <c r="J262" i="1"/>
  <c r="K262" i="1"/>
  <c r="L262" i="1"/>
  <c r="M262" i="1"/>
  <c r="A263" i="1"/>
  <c r="B263" i="1"/>
  <c r="C263" i="1"/>
  <c r="D263" i="1"/>
  <c r="E263" i="1"/>
  <c r="F263" i="1"/>
  <c r="G263" i="1"/>
  <c r="H263" i="1"/>
  <c r="I263" i="1"/>
  <c r="J263" i="1"/>
  <c r="K263" i="1"/>
  <c r="L263" i="1"/>
  <c r="M263" i="1"/>
  <c r="A264" i="1"/>
  <c r="B264" i="1"/>
  <c r="C264" i="1"/>
  <c r="D264" i="1"/>
  <c r="E264" i="1"/>
  <c r="F264" i="1"/>
  <c r="G264" i="1"/>
  <c r="H264" i="1"/>
  <c r="I264" i="1"/>
  <c r="J264" i="1"/>
  <c r="K264" i="1"/>
  <c r="L264" i="1"/>
  <c r="M264" i="1"/>
  <c r="A265" i="1"/>
  <c r="B265" i="1"/>
  <c r="C265" i="1"/>
  <c r="D265" i="1"/>
  <c r="E265" i="1"/>
  <c r="F265" i="1"/>
  <c r="G265" i="1"/>
  <c r="H265" i="1"/>
  <c r="I265" i="1"/>
  <c r="J265" i="1"/>
  <c r="K265" i="1"/>
  <c r="L265" i="1"/>
  <c r="M265" i="1"/>
  <c r="A266" i="1"/>
  <c r="B266" i="1"/>
  <c r="C266" i="1"/>
  <c r="D266" i="1"/>
  <c r="E266" i="1"/>
  <c r="F266" i="1"/>
  <c r="G266" i="1"/>
  <c r="H266" i="1"/>
  <c r="I266" i="1"/>
  <c r="J266" i="1"/>
  <c r="K266" i="1"/>
  <c r="L266" i="1"/>
  <c r="M266" i="1"/>
  <c r="A267" i="1"/>
  <c r="B267" i="1"/>
  <c r="C267" i="1"/>
  <c r="D267" i="1"/>
  <c r="E267" i="1"/>
  <c r="F267" i="1"/>
  <c r="G267" i="1"/>
  <c r="H267" i="1"/>
  <c r="I267" i="1"/>
  <c r="J267" i="1"/>
  <c r="K267" i="1"/>
  <c r="L267" i="1"/>
  <c r="M267" i="1"/>
  <c r="A268" i="1"/>
  <c r="B268" i="1"/>
  <c r="C268" i="1"/>
  <c r="D268" i="1"/>
  <c r="E268" i="1"/>
  <c r="F268" i="1"/>
  <c r="G268" i="1"/>
  <c r="H268" i="1"/>
  <c r="I268" i="1"/>
  <c r="J268" i="1"/>
  <c r="K268" i="1"/>
  <c r="L268" i="1"/>
  <c r="M268" i="1"/>
  <c r="A269" i="1"/>
  <c r="B269" i="1"/>
  <c r="C269" i="1"/>
  <c r="D269" i="1"/>
  <c r="E269" i="1"/>
  <c r="F269" i="1"/>
  <c r="G269" i="1"/>
  <c r="H269" i="1"/>
  <c r="I269" i="1"/>
  <c r="J269" i="1"/>
  <c r="K269" i="1"/>
  <c r="L269" i="1"/>
  <c r="M269" i="1"/>
  <c r="A270" i="1"/>
  <c r="B270" i="1"/>
  <c r="C270" i="1"/>
  <c r="D270" i="1"/>
  <c r="E270" i="1"/>
  <c r="F270" i="1"/>
  <c r="G270" i="1"/>
  <c r="H270" i="1"/>
  <c r="I270" i="1"/>
  <c r="J270" i="1"/>
  <c r="K270" i="1"/>
  <c r="L270" i="1"/>
  <c r="M270" i="1"/>
  <c r="A271" i="1"/>
  <c r="B271" i="1"/>
  <c r="C271" i="1"/>
  <c r="D271" i="1"/>
  <c r="E271" i="1"/>
  <c r="F271" i="1"/>
  <c r="G271" i="1"/>
  <c r="H271" i="1"/>
  <c r="I271" i="1"/>
  <c r="J271" i="1"/>
  <c r="K271" i="1"/>
  <c r="L271" i="1"/>
  <c r="M271" i="1"/>
  <c r="A272" i="1"/>
  <c r="B272" i="1"/>
  <c r="C272" i="1"/>
  <c r="D272" i="1"/>
  <c r="E272" i="1"/>
  <c r="F272" i="1"/>
  <c r="G272" i="1"/>
  <c r="H272" i="1"/>
  <c r="I272" i="1"/>
  <c r="J272" i="1"/>
  <c r="K272" i="1"/>
  <c r="L272" i="1"/>
  <c r="M272" i="1"/>
  <c r="A273" i="1"/>
  <c r="B273" i="1"/>
  <c r="C273" i="1"/>
  <c r="D273" i="1"/>
  <c r="E273" i="1"/>
  <c r="F273" i="1"/>
  <c r="G273" i="1"/>
  <c r="H273" i="1"/>
  <c r="I273" i="1"/>
  <c r="J273" i="1"/>
  <c r="K273" i="1"/>
  <c r="L273" i="1"/>
  <c r="M273" i="1"/>
  <c r="A274" i="1"/>
  <c r="B274" i="1"/>
  <c r="C274" i="1"/>
  <c r="D274" i="1"/>
  <c r="E274" i="1"/>
  <c r="F274" i="1"/>
  <c r="G274" i="1"/>
  <c r="H274" i="1"/>
  <c r="I274" i="1"/>
  <c r="J274" i="1"/>
  <c r="K274" i="1"/>
  <c r="L274" i="1"/>
  <c r="M274" i="1"/>
  <c r="A275" i="1"/>
  <c r="B275" i="1"/>
  <c r="C275" i="1"/>
  <c r="D275" i="1"/>
  <c r="E275" i="1"/>
  <c r="F275" i="1"/>
  <c r="G275" i="1"/>
  <c r="H275" i="1"/>
  <c r="I275" i="1"/>
  <c r="J275" i="1"/>
  <c r="K275" i="1"/>
  <c r="L275" i="1"/>
  <c r="M275" i="1"/>
  <c r="A276" i="1"/>
  <c r="B276" i="1"/>
  <c r="C276" i="1"/>
  <c r="D276" i="1"/>
  <c r="E276" i="1"/>
  <c r="F276" i="1"/>
  <c r="G276" i="1"/>
  <c r="H276" i="1"/>
  <c r="I276" i="1"/>
  <c r="J276" i="1"/>
  <c r="K276" i="1"/>
  <c r="L276" i="1"/>
  <c r="M276" i="1"/>
  <c r="A277" i="1"/>
  <c r="B277" i="1"/>
  <c r="C277" i="1"/>
  <c r="D277" i="1"/>
  <c r="E277" i="1"/>
  <c r="F277" i="1"/>
  <c r="G277" i="1"/>
  <c r="H277" i="1"/>
  <c r="I277" i="1"/>
  <c r="J277" i="1"/>
  <c r="K277" i="1"/>
  <c r="L277" i="1"/>
  <c r="M277" i="1"/>
  <c r="A278" i="1"/>
  <c r="B278" i="1"/>
  <c r="C278" i="1"/>
  <c r="D278" i="1"/>
  <c r="E278" i="1"/>
  <c r="F278" i="1"/>
  <c r="G278" i="1"/>
  <c r="H278" i="1"/>
  <c r="I278" i="1"/>
  <c r="J278" i="1"/>
  <c r="K278" i="1"/>
  <c r="L278" i="1"/>
  <c r="M278" i="1"/>
  <c r="A279" i="1"/>
  <c r="B279" i="1"/>
  <c r="C279" i="1"/>
  <c r="D279" i="1"/>
  <c r="E279" i="1"/>
  <c r="F279" i="1"/>
  <c r="G279" i="1"/>
  <c r="H279" i="1"/>
  <c r="I279" i="1"/>
  <c r="J279" i="1"/>
  <c r="K279" i="1"/>
  <c r="L279" i="1"/>
  <c r="M279" i="1"/>
  <c r="A280" i="1"/>
  <c r="B280" i="1"/>
  <c r="C280" i="1"/>
  <c r="D280" i="1"/>
  <c r="E280" i="1"/>
  <c r="F280" i="1"/>
  <c r="G280" i="1"/>
  <c r="H280" i="1"/>
  <c r="I280" i="1"/>
  <c r="J280" i="1"/>
  <c r="K280" i="1"/>
  <c r="L280" i="1"/>
  <c r="M280" i="1"/>
  <c r="A281" i="1"/>
  <c r="B281" i="1"/>
  <c r="C281" i="1"/>
  <c r="D281" i="1"/>
  <c r="E281" i="1"/>
  <c r="F281" i="1"/>
  <c r="G281" i="1"/>
  <c r="H281" i="1"/>
  <c r="I281" i="1"/>
  <c r="J281" i="1"/>
  <c r="K281" i="1"/>
  <c r="L281" i="1"/>
  <c r="M281" i="1"/>
  <c r="A282" i="1"/>
  <c r="B282" i="1"/>
  <c r="C282" i="1"/>
  <c r="D282" i="1"/>
  <c r="E282" i="1"/>
  <c r="F282" i="1"/>
  <c r="G282" i="1"/>
  <c r="H282" i="1"/>
  <c r="I282" i="1"/>
  <c r="J282" i="1"/>
  <c r="K282" i="1"/>
  <c r="L282" i="1"/>
  <c r="M282" i="1"/>
  <c r="A283" i="1"/>
  <c r="B283" i="1"/>
  <c r="C283" i="1"/>
  <c r="D283" i="1"/>
  <c r="E283" i="1"/>
  <c r="F283" i="1"/>
  <c r="G283" i="1"/>
  <c r="H283" i="1"/>
  <c r="I283" i="1"/>
  <c r="J283" i="1"/>
  <c r="K283" i="1"/>
  <c r="L283" i="1"/>
  <c r="M283" i="1"/>
  <c r="A284" i="1"/>
  <c r="B284" i="1"/>
  <c r="C284" i="1"/>
  <c r="D284" i="1"/>
  <c r="E284" i="1"/>
  <c r="F284" i="1"/>
  <c r="G284" i="1"/>
  <c r="H284" i="1"/>
  <c r="I284" i="1"/>
  <c r="J284" i="1"/>
  <c r="K284" i="1"/>
  <c r="L284" i="1"/>
  <c r="M284" i="1"/>
  <c r="A285" i="1"/>
  <c r="B285" i="1"/>
  <c r="C285" i="1"/>
  <c r="D285" i="1"/>
  <c r="E285" i="1"/>
  <c r="F285" i="1"/>
  <c r="G285" i="1"/>
  <c r="H285" i="1"/>
  <c r="I285" i="1"/>
  <c r="J285" i="1"/>
  <c r="K285" i="1"/>
  <c r="L285" i="1"/>
  <c r="M285" i="1"/>
  <c r="A286" i="1"/>
  <c r="B286" i="1"/>
  <c r="C286" i="1"/>
  <c r="D286" i="1"/>
  <c r="E286" i="1"/>
  <c r="F286" i="1"/>
  <c r="G286" i="1"/>
  <c r="H286" i="1"/>
  <c r="I286" i="1"/>
  <c r="J286" i="1"/>
  <c r="K286" i="1"/>
  <c r="L286" i="1"/>
  <c r="M286" i="1"/>
  <c r="A287" i="1"/>
  <c r="B287" i="1"/>
  <c r="C287" i="1"/>
  <c r="D287" i="1"/>
  <c r="E287" i="1"/>
  <c r="F287" i="1"/>
  <c r="G287" i="1"/>
  <c r="H287" i="1"/>
  <c r="I287" i="1"/>
  <c r="J287" i="1"/>
  <c r="K287" i="1"/>
  <c r="L287" i="1"/>
  <c r="M287" i="1"/>
  <c r="A288" i="1"/>
  <c r="B288" i="1"/>
  <c r="C288" i="1"/>
  <c r="D288" i="1"/>
  <c r="E288" i="1"/>
  <c r="F288" i="1"/>
  <c r="G288" i="1"/>
  <c r="H288" i="1"/>
  <c r="I288" i="1"/>
  <c r="J288" i="1"/>
  <c r="K288" i="1"/>
  <c r="L288" i="1"/>
  <c r="M288" i="1"/>
  <c r="A289" i="1"/>
  <c r="B289" i="1"/>
  <c r="C289" i="1"/>
  <c r="D289" i="1"/>
  <c r="E289" i="1"/>
  <c r="F289" i="1"/>
  <c r="G289" i="1"/>
  <c r="H289" i="1"/>
  <c r="I289" i="1"/>
  <c r="J289" i="1"/>
  <c r="K289" i="1"/>
  <c r="L289" i="1"/>
  <c r="M289" i="1"/>
  <c r="A290" i="1"/>
  <c r="B290" i="1"/>
  <c r="C290" i="1"/>
  <c r="D290" i="1"/>
  <c r="E290" i="1"/>
  <c r="F290" i="1"/>
  <c r="G290" i="1"/>
  <c r="H290" i="1"/>
  <c r="I290" i="1"/>
  <c r="J290" i="1"/>
  <c r="K290" i="1"/>
  <c r="L290" i="1"/>
  <c r="M290" i="1"/>
  <c r="A291" i="1"/>
  <c r="B291" i="1"/>
  <c r="C291" i="1"/>
  <c r="D291" i="1"/>
  <c r="E291" i="1"/>
  <c r="F291" i="1"/>
  <c r="G291" i="1"/>
  <c r="H291" i="1"/>
  <c r="I291" i="1"/>
  <c r="J291" i="1"/>
  <c r="K291" i="1"/>
  <c r="L291" i="1"/>
  <c r="M291" i="1"/>
  <c r="A292" i="1"/>
  <c r="B292" i="1"/>
  <c r="C292" i="1"/>
  <c r="D292" i="1"/>
  <c r="E292" i="1"/>
  <c r="F292" i="1"/>
  <c r="G292" i="1"/>
  <c r="H292" i="1"/>
  <c r="I292" i="1"/>
  <c r="J292" i="1"/>
  <c r="K292" i="1"/>
  <c r="L292" i="1"/>
  <c r="M292" i="1"/>
  <c r="A293" i="1"/>
  <c r="B293" i="1"/>
  <c r="C293" i="1"/>
  <c r="D293" i="1"/>
  <c r="E293" i="1"/>
  <c r="F293" i="1"/>
  <c r="G293" i="1"/>
  <c r="H293" i="1"/>
  <c r="I293" i="1"/>
  <c r="J293" i="1"/>
  <c r="K293" i="1"/>
  <c r="L293" i="1"/>
  <c r="M293" i="1"/>
  <c r="A294" i="1"/>
  <c r="B294" i="1"/>
  <c r="C294" i="1"/>
  <c r="D294" i="1"/>
  <c r="E294" i="1"/>
  <c r="F294" i="1"/>
  <c r="G294" i="1"/>
  <c r="H294" i="1"/>
  <c r="I294" i="1"/>
  <c r="J294" i="1"/>
  <c r="K294" i="1"/>
  <c r="L294" i="1"/>
  <c r="M294" i="1"/>
  <c r="A295" i="1"/>
  <c r="B295" i="1"/>
  <c r="C295" i="1"/>
  <c r="D295" i="1"/>
  <c r="E295" i="1"/>
  <c r="F295" i="1"/>
  <c r="G295" i="1"/>
  <c r="H295" i="1"/>
  <c r="I295" i="1"/>
  <c r="J295" i="1"/>
  <c r="K295" i="1"/>
  <c r="L295" i="1"/>
  <c r="M295" i="1"/>
  <c r="A296" i="1"/>
  <c r="B296" i="1"/>
  <c r="C296" i="1"/>
  <c r="D296" i="1"/>
  <c r="E296" i="1"/>
  <c r="F296" i="1"/>
  <c r="G296" i="1"/>
  <c r="H296" i="1"/>
  <c r="I296" i="1"/>
  <c r="J296" i="1"/>
  <c r="K296" i="1"/>
  <c r="L296" i="1"/>
  <c r="M296" i="1"/>
  <c r="A297" i="1"/>
  <c r="B297" i="1"/>
  <c r="C297" i="1"/>
  <c r="D297" i="1"/>
  <c r="E297" i="1"/>
  <c r="F297" i="1"/>
  <c r="G297" i="1"/>
  <c r="H297" i="1"/>
  <c r="I297" i="1"/>
  <c r="J297" i="1"/>
  <c r="K297" i="1"/>
  <c r="L297" i="1"/>
  <c r="M297" i="1"/>
  <c r="A298" i="1"/>
  <c r="B298" i="1"/>
  <c r="C298" i="1"/>
  <c r="D298" i="1"/>
  <c r="E298" i="1"/>
  <c r="F298" i="1"/>
  <c r="G298" i="1"/>
  <c r="H298" i="1"/>
  <c r="I298" i="1"/>
  <c r="J298" i="1"/>
  <c r="K298" i="1"/>
  <c r="L298" i="1"/>
  <c r="M298" i="1"/>
  <c r="A299" i="1"/>
  <c r="B299" i="1"/>
  <c r="C299" i="1"/>
  <c r="D299" i="1"/>
  <c r="E299" i="1"/>
  <c r="F299" i="1"/>
  <c r="G299" i="1"/>
  <c r="H299" i="1"/>
  <c r="I299" i="1"/>
  <c r="J299" i="1"/>
  <c r="K299" i="1"/>
  <c r="L299" i="1"/>
  <c r="M299" i="1"/>
  <c r="A300" i="1"/>
  <c r="B300" i="1"/>
  <c r="C300" i="1"/>
  <c r="D300" i="1"/>
  <c r="E300" i="1"/>
  <c r="F300" i="1"/>
  <c r="G300" i="1"/>
  <c r="H300" i="1"/>
  <c r="I300" i="1"/>
  <c r="J300" i="1"/>
  <c r="K300" i="1"/>
  <c r="L300" i="1"/>
  <c r="M300" i="1"/>
  <c r="A301" i="1"/>
  <c r="B301" i="1"/>
  <c r="C301" i="1"/>
  <c r="D301" i="1"/>
  <c r="E301" i="1"/>
  <c r="F301" i="1"/>
  <c r="G301" i="1"/>
  <c r="H301" i="1"/>
  <c r="I301" i="1"/>
  <c r="J301" i="1"/>
  <c r="K301" i="1"/>
  <c r="L301" i="1"/>
  <c r="M301" i="1"/>
  <c r="A302" i="1"/>
  <c r="B302" i="1"/>
  <c r="C302" i="1"/>
  <c r="D302" i="1"/>
  <c r="E302" i="1"/>
  <c r="F302" i="1"/>
  <c r="G302" i="1"/>
  <c r="H302" i="1"/>
  <c r="I302" i="1"/>
  <c r="J302" i="1"/>
  <c r="K302" i="1"/>
  <c r="L302" i="1"/>
  <c r="M302" i="1"/>
  <c r="A303" i="1"/>
  <c r="B303" i="1"/>
  <c r="C303" i="1"/>
  <c r="D303" i="1"/>
  <c r="E303" i="1"/>
  <c r="F303" i="1"/>
  <c r="G303" i="1"/>
  <c r="H303" i="1"/>
  <c r="I303" i="1"/>
  <c r="J303" i="1"/>
  <c r="K303" i="1"/>
  <c r="L303" i="1"/>
  <c r="M303" i="1"/>
  <c r="A304" i="1"/>
  <c r="B304" i="1"/>
  <c r="C304" i="1"/>
  <c r="D304" i="1"/>
  <c r="E304" i="1"/>
  <c r="F304" i="1"/>
  <c r="G304" i="1"/>
  <c r="H304" i="1"/>
  <c r="I304" i="1"/>
  <c r="J304" i="1"/>
  <c r="K304" i="1"/>
  <c r="L304" i="1"/>
  <c r="M304" i="1"/>
  <c r="A305" i="1"/>
  <c r="B305" i="1"/>
  <c r="C305" i="1"/>
  <c r="D305" i="1"/>
  <c r="E305" i="1"/>
  <c r="F305" i="1"/>
  <c r="G305" i="1"/>
  <c r="H305" i="1"/>
  <c r="I305" i="1"/>
  <c r="J305" i="1"/>
  <c r="K305" i="1"/>
  <c r="L305" i="1"/>
  <c r="M305" i="1"/>
  <c r="A306" i="1"/>
  <c r="B306" i="1"/>
  <c r="C306" i="1"/>
  <c r="D306" i="1"/>
  <c r="E306" i="1"/>
  <c r="F306" i="1"/>
  <c r="G306" i="1"/>
  <c r="H306" i="1"/>
  <c r="I306" i="1"/>
  <c r="J306" i="1"/>
  <c r="K306" i="1"/>
  <c r="L306" i="1"/>
  <c r="M306" i="1"/>
  <c r="A307" i="1"/>
  <c r="B307" i="1"/>
  <c r="C307" i="1"/>
  <c r="D307" i="1"/>
  <c r="E307" i="1"/>
  <c r="F307" i="1"/>
  <c r="G307" i="1"/>
  <c r="H307" i="1"/>
  <c r="I307" i="1"/>
  <c r="J307" i="1"/>
  <c r="K307" i="1"/>
  <c r="L307" i="1"/>
  <c r="M307" i="1"/>
  <c r="A308" i="1"/>
  <c r="B308" i="1"/>
  <c r="C308" i="1"/>
  <c r="D308" i="1"/>
  <c r="E308" i="1"/>
  <c r="F308" i="1"/>
  <c r="G308" i="1"/>
  <c r="H308" i="1"/>
  <c r="I308" i="1"/>
  <c r="J308" i="1"/>
  <c r="K308" i="1"/>
  <c r="L308" i="1"/>
  <c r="M308" i="1"/>
  <c r="A309" i="1"/>
  <c r="B309" i="1"/>
  <c r="C309" i="1"/>
  <c r="D309" i="1"/>
  <c r="E309" i="1"/>
  <c r="F309" i="1"/>
  <c r="G309" i="1"/>
  <c r="H309" i="1"/>
  <c r="I309" i="1"/>
  <c r="J309" i="1"/>
  <c r="K309" i="1"/>
  <c r="L309" i="1"/>
  <c r="M309" i="1"/>
  <c r="A310" i="1"/>
  <c r="B310" i="1"/>
  <c r="C310" i="1"/>
  <c r="D310" i="1"/>
  <c r="E310" i="1"/>
  <c r="F310" i="1"/>
  <c r="G310" i="1"/>
  <c r="H310" i="1"/>
  <c r="I310" i="1"/>
  <c r="J310" i="1"/>
  <c r="K310" i="1"/>
  <c r="L310" i="1"/>
  <c r="M310" i="1"/>
  <c r="A311" i="1"/>
  <c r="B311" i="1"/>
  <c r="C311" i="1"/>
  <c r="D311" i="1"/>
  <c r="E311" i="1"/>
  <c r="F311" i="1"/>
  <c r="G311" i="1"/>
  <c r="H311" i="1"/>
  <c r="I311" i="1"/>
  <c r="J311" i="1"/>
  <c r="K311" i="1"/>
  <c r="L311" i="1"/>
  <c r="M311" i="1"/>
  <c r="A312" i="1"/>
  <c r="B312" i="1"/>
  <c r="C312" i="1"/>
  <c r="D312" i="1"/>
  <c r="E312" i="1"/>
  <c r="F312" i="1"/>
  <c r="G312" i="1"/>
  <c r="H312" i="1"/>
  <c r="I312" i="1"/>
  <c r="J312" i="1"/>
  <c r="K312" i="1"/>
  <c r="L312" i="1"/>
  <c r="M312" i="1"/>
  <c r="A313" i="1"/>
  <c r="B313" i="1"/>
  <c r="C313" i="1"/>
  <c r="D313" i="1"/>
  <c r="E313" i="1"/>
  <c r="F313" i="1"/>
  <c r="G313" i="1"/>
  <c r="H313" i="1"/>
  <c r="I313" i="1"/>
  <c r="J313" i="1"/>
  <c r="K313" i="1"/>
  <c r="L313" i="1"/>
  <c r="M313" i="1"/>
  <c r="A314" i="1"/>
  <c r="B314" i="1"/>
  <c r="C314" i="1"/>
  <c r="D314" i="1"/>
  <c r="E314" i="1"/>
  <c r="F314" i="1"/>
  <c r="G314" i="1"/>
  <c r="H314" i="1"/>
  <c r="I314" i="1"/>
  <c r="J314" i="1"/>
  <c r="K314" i="1"/>
  <c r="L314" i="1"/>
  <c r="M314" i="1"/>
  <c r="A315" i="1"/>
  <c r="B315" i="1"/>
  <c r="C315" i="1"/>
  <c r="D315" i="1"/>
  <c r="E315" i="1"/>
  <c r="F315" i="1"/>
  <c r="G315" i="1"/>
  <c r="H315" i="1"/>
  <c r="I315" i="1"/>
  <c r="J315" i="1"/>
  <c r="K315" i="1"/>
  <c r="L315" i="1"/>
  <c r="M315" i="1"/>
  <c r="A316" i="1"/>
  <c r="B316" i="1"/>
  <c r="C316" i="1"/>
  <c r="D316" i="1"/>
  <c r="E316" i="1"/>
  <c r="F316" i="1"/>
  <c r="G316" i="1"/>
  <c r="H316" i="1"/>
  <c r="I316" i="1"/>
  <c r="J316" i="1"/>
  <c r="K316" i="1"/>
  <c r="L316" i="1"/>
  <c r="M316" i="1"/>
  <c r="A317" i="1"/>
  <c r="B317" i="1"/>
  <c r="C317" i="1"/>
  <c r="D317" i="1"/>
  <c r="E317" i="1"/>
  <c r="F317" i="1"/>
  <c r="G317" i="1"/>
  <c r="H317" i="1"/>
  <c r="I317" i="1"/>
  <c r="J317" i="1"/>
  <c r="K317" i="1"/>
  <c r="L317" i="1"/>
  <c r="M317" i="1"/>
  <c r="A318" i="1"/>
  <c r="B318" i="1"/>
  <c r="C318" i="1"/>
  <c r="D318" i="1"/>
  <c r="E318" i="1"/>
  <c r="F318" i="1"/>
  <c r="G318" i="1"/>
  <c r="H318" i="1"/>
  <c r="I318" i="1"/>
  <c r="J318" i="1"/>
  <c r="K318" i="1"/>
  <c r="L318" i="1"/>
  <c r="M318" i="1"/>
  <c r="A319" i="1"/>
  <c r="B319" i="1"/>
  <c r="C319" i="1"/>
  <c r="D319" i="1"/>
  <c r="E319" i="1"/>
  <c r="F319" i="1"/>
  <c r="G319" i="1"/>
  <c r="H319" i="1"/>
  <c r="I319" i="1"/>
  <c r="J319" i="1"/>
  <c r="K319" i="1"/>
  <c r="L319" i="1"/>
  <c r="M319" i="1"/>
  <c r="A320" i="1"/>
  <c r="B320" i="1"/>
  <c r="C320" i="1"/>
  <c r="D320" i="1"/>
  <c r="E320" i="1"/>
  <c r="F320" i="1"/>
  <c r="G320" i="1"/>
  <c r="H320" i="1"/>
  <c r="I320" i="1"/>
  <c r="J320" i="1"/>
  <c r="K320" i="1"/>
  <c r="L320" i="1"/>
  <c r="M320" i="1"/>
  <c r="A321" i="1"/>
  <c r="B321" i="1"/>
  <c r="C321" i="1"/>
  <c r="D321" i="1"/>
  <c r="E321" i="1"/>
  <c r="F321" i="1"/>
  <c r="G321" i="1"/>
  <c r="H321" i="1"/>
  <c r="I321" i="1"/>
  <c r="J321" i="1"/>
  <c r="K321" i="1"/>
  <c r="L321" i="1"/>
  <c r="M321" i="1"/>
  <c r="A322" i="1"/>
  <c r="B322" i="1"/>
  <c r="C322" i="1"/>
  <c r="D322" i="1"/>
  <c r="E322" i="1"/>
  <c r="F322" i="1"/>
  <c r="G322" i="1"/>
  <c r="H322" i="1"/>
  <c r="I322" i="1"/>
  <c r="J322" i="1"/>
  <c r="K322" i="1"/>
  <c r="L322" i="1"/>
  <c r="M322" i="1"/>
  <c r="A323" i="1"/>
  <c r="B323" i="1"/>
  <c r="C323" i="1"/>
  <c r="D323" i="1"/>
  <c r="E323" i="1"/>
  <c r="F323" i="1"/>
  <c r="G323" i="1"/>
  <c r="H323" i="1"/>
  <c r="I323" i="1"/>
  <c r="J323" i="1"/>
  <c r="K323" i="1"/>
  <c r="L323" i="1"/>
  <c r="M323" i="1"/>
  <c r="A324" i="1"/>
  <c r="B324" i="1"/>
  <c r="C324" i="1"/>
  <c r="D324" i="1"/>
  <c r="E324" i="1"/>
  <c r="F324" i="1"/>
  <c r="G324" i="1"/>
  <c r="H324" i="1"/>
  <c r="I324" i="1"/>
  <c r="J324" i="1"/>
  <c r="K324" i="1"/>
  <c r="L324" i="1"/>
  <c r="M324" i="1"/>
  <c r="A325" i="1"/>
  <c r="B325" i="1"/>
  <c r="C325" i="1"/>
  <c r="D325" i="1"/>
  <c r="E325" i="1"/>
  <c r="F325" i="1"/>
  <c r="G325" i="1"/>
  <c r="H325" i="1"/>
  <c r="I325" i="1"/>
  <c r="J325" i="1"/>
  <c r="K325" i="1"/>
  <c r="L325" i="1"/>
  <c r="M325" i="1"/>
  <c r="A326" i="1"/>
  <c r="B326" i="1"/>
  <c r="C326" i="1"/>
  <c r="D326" i="1"/>
  <c r="E326" i="1"/>
  <c r="F326" i="1"/>
  <c r="G326" i="1"/>
  <c r="H326" i="1"/>
  <c r="I326" i="1"/>
  <c r="J326" i="1"/>
  <c r="K326" i="1"/>
  <c r="L326" i="1"/>
  <c r="M326" i="1"/>
  <c r="A327" i="1"/>
  <c r="B327" i="1"/>
  <c r="C327" i="1"/>
  <c r="D327" i="1"/>
  <c r="E327" i="1"/>
  <c r="F327" i="1"/>
  <c r="G327" i="1"/>
  <c r="H327" i="1"/>
  <c r="I327" i="1"/>
  <c r="J327" i="1"/>
  <c r="K327" i="1"/>
  <c r="L327" i="1"/>
  <c r="M327" i="1"/>
  <c r="A328" i="1"/>
  <c r="B328" i="1"/>
  <c r="C328" i="1"/>
  <c r="D328" i="1"/>
  <c r="E328" i="1"/>
  <c r="F328" i="1"/>
  <c r="G328" i="1"/>
  <c r="H328" i="1"/>
  <c r="I328" i="1"/>
  <c r="J328" i="1"/>
  <c r="K328" i="1"/>
  <c r="L328" i="1"/>
  <c r="M328" i="1"/>
  <c r="A329" i="1"/>
  <c r="B329" i="1"/>
  <c r="C329" i="1"/>
  <c r="D329" i="1"/>
  <c r="E329" i="1"/>
  <c r="F329" i="1"/>
  <c r="G329" i="1"/>
  <c r="H329" i="1"/>
  <c r="I329" i="1"/>
  <c r="J329" i="1"/>
  <c r="K329" i="1"/>
  <c r="L329" i="1"/>
  <c r="M329" i="1"/>
  <c r="A330" i="1"/>
  <c r="B330" i="1"/>
  <c r="C330" i="1"/>
  <c r="D330" i="1"/>
  <c r="E330" i="1"/>
  <c r="F330" i="1"/>
  <c r="G330" i="1"/>
  <c r="H330" i="1"/>
  <c r="I330" i="1"/>
  <c r="J330" i="1"/>
  <c r="K330" i="1"/>
  <c r="L330" i="1"/>
  <c r="M330" i="1"/>
  <c r="A331" i="1"/>
  <c r="B331" i="1"/>
  <c r="C331" i="1"/>
  <c r="D331" i="1"/>
  <c r="E331" i="1"/>
  <c r="F331" i="1"/>
  <c r="G331" i="1"/>
  <c r="H331" i="1"/>
  <c r="I331" i="1"/>
  <c r="J331" i="1"/>
  <c r="K331" i="1"/>
  <c r="L331" i="1"/>
  <c r="M331" i="1"/>
  <c r="A332" i="1"/>
  <c r="B332" i="1"/>
  <c r="C332" i="1"/>
  <c r="D332" i="1"/>
  <c r="E332" i="1"/>
  <c r="F332" i="1"/>
  <c r="G332" i="1"/>
  <c r="H332" i="1"/>
  <c r="I332" i="1"/>
  <c r="J332" i="1"/>
  <c r="K332" i="1"/>
  <c r="L332" i="1"/>
  <c r="M332" i="1"/>
  <c r="A333" i="1"/>
  <c r="B333" i="1"/>
  <c r="C333" i="1"/>
  <c r="D333" i="1"/>
  <c r="E333" i="1"/>
  <c r="F333" i="1"/>
  <c r="G333" i="1"/>
  <c r="H333" i="1"/>
  <c r="I333" i="1"/>
  <c r="J333" i="1"/>
  <c r="K333" i="1"/>
  <c r="L333" i="1"/>
  <c r="M333" i="1"/>
  <c r="A334" i="1"/>
  <c r="B334" i="1"/>
  <c r="C334" i="1"/>
  <c r="D334" i="1"/>
  <c r="E334" i="1"/>
  <c r="F334" i="1"/>
  <c r="G334" i="1"/>
  <c r="H334" i="1"/>
  <c r="I334" i="1"/>
  <c r="J334" i="1"/>
  <c r="K334" i="1"/>
  <c r="L334" i="1"/>
  <c r="M334" i="1"/>
  <c r="A335" i="1"/>
  <c r="B335" i="1"/>
  <c r="C335" i="1"/>
  <c r="D335" i="1"/>
  <c r="E335" i="1"/>
  <c r="F335" i="1"/>
  <c r="G335" i="1"/>
  <c r="H335" i="1"/>
  <c r="I335" i="1"/>
  <c r="J335" i="1"/>
  <c r="K335" i="1"/>
  <c r="L335" i="1"/>
  <c r="M335" i="1"/>
  <c r="A336" i="1"/>
  <c r="B336" i="1"/>
  <c r="C336" i="1"/>
  <c r="D336" i="1"/>
  <c r="E336" i="1"/>
  <c r="F336" i="1"/>
  <c r="G336" i="1"/>
  <c r="H336" i="1"/>
  <c r="I336" i="1"/>
  <c r="J336" i="1"/>
  <c r="K336" i="1"/>
  <c r="L336" i="1"/>
  <c r="M336" i="1"/>
  <c r="A337" i="1"/>
  <c r="B337" i="1"/>
  <c r="C337" i="1"/>
  <c r="D337" i="1"/>
  <c r="E337" i="1"/>
  <c r="F337" i="1"/>
  <c r="G337" i="1"/>
  <c r="H337" i="1"/>
  <c r="I337" i="1"/>
  <c r="J337" i="1"/>
  <c r="K337" i="1"/>
  <c r="L337" i="1"/>
  <c r="M337" i="1"/>
  <c r="A338" i="1"/>
  <c r="B338" i="1"/>
  <c r="C338" i="1"/>
  <c r="D338" i="1"/>
  <c r="E338" i="1"/>
  <c r="F338" i="1"/>
  <c r="G338" i="1"/>
  <c r="H338" i="1"/>
  <c r="I338" i="1"/>
  <c r="J338" i="1"/>
  <c r="K338" i="1"/>
  <c r="L338" i="1"/>
  <c r="M338" i="1"/>
  <c r="A339" i="1"/>
  <c r="B339" i="1"/>
  <c r="C339" i="1"/>
  <c r="D339" i="1"/>
  <c r="E339" i="1"/>
  <c r="F339" i="1"/>
  <c r="G339" i="1"/>
  <c r="H339" i="1"/>
  <c r="I339" i="1"/>
  <c r="J339" i="1"/>
  <c r="K339" i="1"/>
  <c r="L339" i="1"/>
  <c r="M339" i="1"/>
  <c r="A340" i="1"/>
  <c r="B340" i="1"/>
  <c r="C340" i="1"/>
  <c r="D340" i="1"/>
  <c r="E340" i="1"/>
  <c r="F340" i="1"/>
  <c r="G340" i="1"/>
  <c r="H340" i="1"/>
  <c r="I340" i="1"/>
  <c r="J340" i="1"/>
  <c r="K340" i="1"/>
  <c r="L340" i="1"/>
  <c r="M340" i="1"/>
  <c r="A341" i="1"/>
  <c r="B341" i="1"/>
  <c r="C341" i="1"/>
  <c r="D341" i="1"/>
  <c r="E341" i="1"/>
  <c r="F341" i="1"/>
  <c r="G341" i="1"/>
  <c r="H341" i="1"/>
  <c r="I341" i="1"/>
  <c r="J341" i="1"/>
  <c r="K341" i="1"/>
  <c r="L341" i="1"/>
  <c r="M341" i="1"/>
  <c r="A342" i="1"/>
  <c r="B342" i="1"/>
  <c r="C342" i="1"/>
  <c r="D342" i="1"/>
  <c r="E342" i="1"/>
  <c r="F342" i="1"/>
  <c r="G342" i="1"/>
  <c r="H342" i="1"/>
  <c r="I342" i="1"/>
  <c r="J342" i="1"/>
  <c r="K342" i="1"/>
  <c r="L342" i="1"/>
  <c r="M342" i="1"/>
  <c r="A343" i="1"/>
  <c r="B343" i="1"/>
  <c r="C343" i="1"/>
  <c r="D343" i="1"/>
  <c r="E343" i="1"/>
  <c r="F343" i="1"/>
  <c r="G343" i="1"/>
  <c r="H343" i="1"/>
  <c r="I343" i="1"/>
  <c r="J343" i="1"/>
  <c r="K343" i="1"/>
  <c r="L343" i="1"/>
  <c r="M343" i="1"/>
  <c r="A344" i="1"/>
  <c r="B344" i="1"/>
  <c r="C344" i="1"/>
  <c r="D344" i="1"/>
  <c r="E344" i="1"/>
  <c r="F344" i="1"/>
  <c r="G344" i="1"/>
  <c r="H344" i="1"/>
  <c r="I344" i="1"/>
  <c r="J344" i="1"/>
  <c r="K344" i="1"/>
  <c r="L344" i="1"/>
  <c r="M344" i="1"/>
  <c r="A345" i="1"/>
  <c r="B345" i="1"/>
  <c r="C345" i="1"/>
  <c r="D345" i="1"/>
  <c r="E345" i="1"/>
  <c r="F345" i="1"/>
  <c r="G345" i="1"/>
  <c r="H345" i="1"/>
  <c r="I345" i="1"/>
  <c r="J345" i="1"/>
  <c r="K345" i="1"/>
  <c r="L345" i="1"/>
  <c r="M345" i="1"/>
  <c r="A346" i="1"/>
  <c r="B346" i="1"/>
  <c r="C346" i="1"/>
  <c r="D346" i="1"/>
  <c r="E346" i="1"/>
  <c r="F346" i="1"/>
  <c r="G346" i="1"/>
  <c r="H346" i="1"/>
  <c r="I346" i="1"/>
  <c r="J346" i="1"/>
  <c r="K346" i="1"/>
  <c r="L346" i="1"/>
  <c r="M346" i="1"/>
  <c r="A347" i="1"/>
  <c r="B347" i="1"/>
  <c r="C347" i="1"/>
  <c r="D347" i="1"/>
  <c r="E347" i="1"/>
  <c r="F347" i="1"/>
  <c r="G347" i="1"/>
  <c r="H347" i="1"/>
  <c r="I347" i="1"/>
  <c r="J347" i="1"/>
  <c r="K347" i="1"/>
  <c r="L347" i="1"/>
  <c r="M347" i="1"/>
  <c r="A348" i="1"/>
  <c r="B348" i="1"/>
  <c r="C348" i="1"/>
  <c r="D348" i="1"/>
  <c r="E348" i="1"/>
  <c r="F348" i="1"/>
  <c r="G348" i="1"/>
  <c r="H348" i="1"/>
  <c r="I348" i="1"/>
  <c r="J348" i="1"/>
  <c r="K348" i="1"/>
  <c r="L348" i="1"/>
  <c r="M348" i="1"/>
  <c r="A349" i="1"/>
  <c r="B349" i="1"/>
  <c r="C349" i="1"/>
  <c r="D349" i="1"/>
  <c r="E349" i="1"/>
  <c r="F349" i="1"/>
  <c r="G349" i="1"/>
  <c r="H349" i="1"/>
  <c r="I349" i="1"/>
  <c r="J349" i="1"/>
  <c r="K349" i="1"/>
  <c r="L349" i="1"/>
  <c r="M349" i="1"/>
  <c r="A350" i="1"/>
  <c r="B350" i="1"/>
  <c r="C350" i="1"/>
  <c r="D350" i="1"/>
  <c r="E350" i="1"/>
  <c r="F350" i="1"/>
  <c r="G350" i="1"/>
  <c r="H350" i="1"/>
  <c r="I350" i="1"/>
  <c r="J350" i="1"/>
  <c r="K350" i="1"/>
  <c r="L350" i="1"/>
  <c r="M350" i="1"/>
  <c r="A351" i="1"/>
  <c r="B351" i="1"/>
  <c r="C351" i="1"/>
  <c r="D351" i="1"/>
  <c r="E351" i="1"/>
  <c r="F351" i="1"/>
  <c r="G351" i="1"/>
  <c r="H351" i="1"/>
  <c r="I351" i="1"/>
  <c r="J351" i="1"/>
  <c r="K351" i="1"/>
  <c r="L351" i="1"/>
  <c r="M351" i="1"/>
  <c r="A352" i="1"/>
  <c r="B352" i="1"/>
  <c r="C352" i="1"/>
  <c r="D352" i="1"/>
  <c r="E352" i="1"/>
  <c r="F352" i="1"/>
  <c r="G352" i="1"/>
  <c r="H352" i="1"/>
  <c r="I352" i="1"/>
  <c r="J352" i="1"/>
  <c r="K352" i="1"/>
  <c r="L352" i="1"/>
  <c r="M352" i="1"/>
  <c r="A353" i="1"/>
  <c r="B353" i="1"/>
  <c r="C353" i="1"/>
  <c r="D353" i="1"/>
  <c r="E353" i="1"/>
  <c r="F353" i="1"/>
  <c r="G353" i="1"/>
  <c r="H353" i="1"/>
  <c r="I353" i="1"/>
  <c r="J353" i="1"/>
  <c r="K353" i="1"/>
  <c r="L353" i="1"/>
  <c r="M353" i="1"/>
  <c r="A354" i="1"/>
  <c r="B354" i="1"/>
  <c r="C354" i="1"/>
  <c r="D354" i="1"/>
  <c r="E354" i="1"/>
  <c r="F354" i="1"/>
  <c r="G354" i="1"/>
  <c r="H354" i="1"/>
  <c r="I354" i="1"/>
  <c r="J354" i="1"/>
  <c r="K354" i="1"/>
  <c r="L354" i="1"/>
  <c r="M354" i="1"/>
  <c r="A355" i="1"/>
  <c r="B355" i="1"/>
  <c r="C355" i="1"/>
  <c r="D355" i="1"/>
  <c r="E355" i="1"/>
  <c r="F355" i="1"/>
  <c r="G355" i="1"/>
  <c r="H355" i="1"/>
  <c r="I355" i="1"/>
  <c r="J355" i="1"/>
  <c r="K355" i="1"/>
  <c r="L355" i="1"/>
  <c r="M355" i="1"/>
  <c r="A356" i="1"/>
  <c r="B356" i="1"/>
  <c r="C356" i="1"/>
  <c r="D356" i="1"/>
  <c r="E356" i="1"/>
  <c r="F356" i="1"/>
  <c r="G356" i="1"/>
  <c r="H356" i="1"/>
  <c r="I356" i="1"/>
  <c r="J356" i="1"/>
  <c r="K356" i="1"/>
  <c r="L356" i="1"/>
  <c r="M356" i="1"/>
  <c r="A357" i="1"/>
  <c r="B357" i="1"/>
  <c r="C357" i="1"/>
  <c r="D357" i="1"/>
  <c r="E357" i="1"/>
  <c r="F357" i="1"/>
  <c r="G357" i="1"/>
  <c r="H357" i="1"/>
  <c r="I357" i="1"/>
  <c r="J357" i="1"/>
  <c r="K357" i="1"/>
  <c r="L357" i="1"/>
  <c r="M357" i="1"/>
  <c r="A358" i="1"/>
  <c r="B358" i="1"/>
  <c r="C358" i="1"/>
  <c r="D358" i="1"/>
  <c r="E358" i="1"/>
  <c r="F358" i="1"/>
  <c r="G358" i="1"/>
  <c r="H358" i="1"/>
  <c r="I358" i="1"/>
  <c r="J358" i="1"/>
  <c r="K358" i="1"/>
  <c r="L358" i="1"/>
  <c r="M358" i="1"/>
  <c r="A359" i="1"/>
  <c r="B359" i="1"/>
  <c r="C359" i="1"/>
  <c r="D359" i="1"/>
  <c r="E359" i="1"/>
  <c r="F359" i="1"/>
  <c r="G359" i="1"/>
  <c r="H359" i="1"/>
  <c r="I359" i="1"/>
  <c r="J359" i="1"/>
  <c r="K359" i="1"/>
  <c r="L359" i="1"/>
  <c r="M359" i="1"/>
  <c r="A360" i="1"/>
  <c r="B360" i="1"/>
  <c r="C360" i="1"/>
  <c r="D360" i="1"/>
  <c r="E360" i="1"/>
  <c r="F360" i="1"/>
  <c r="G360" i="1"/>
  <c r="H360" i="1"/>
  <c r="I360" i="1"/>
  <c r="J360" i="1"/>
  <c r="K360" i="1"/>
  <c r="L360" i="1"/>
  <c r="M360" i="1"/>
  <c r="A361" i="1"/>
  <c r="B361" i="1"/>
  <c r="C361" i="1"/>
  <c r="D361" i="1"/>
  <c r="E361" i="1"/>
  <c r="F361" i="1"/>
  <c r="G361" i="1"/>
  <c r="H361" i="1"/>
  <c r="I361" i="1"/>
  <c r="J361" i="1"/>
  <c r="K361" i="1"/>
  <c r="L361" i="1"/>
  <c r="M361" i="1"/>
  <c r="A362" i="1"/>
  <c r="B362" i="1"/>
  <c r="C362" i="1"/>
  <c r="D362" i="1"/>
  <c r="E362" i="1"/>
  <c r="F362" i="1"/>
  <c r="G362" i="1"/>
  <c r="H362" i="1"/>
  <c r="I362" i="1"/>
  <c r="J362" i="1"/>
  <c r="K362" i="1"/>
  <c r="L362" i="1"/>
  <c r="M362" i="1"/>
  <c r="A363" i="1"/>
  <c r="B363" i="1"/>
  <c r="C363" i="1"/>
  <c r="D363" i="1"/>
  <c r="E363" i="1"/>
  <c r="F363" i="1"/>
  <c r="G363" i="1"/>
  <c r="H363" i="1"/>
  <c r="I363" i="1"/>
  <c r="J363" i="1"/>
  <c r="K363" i="1"/>
  <c r="L363" i="1"/>
  <c r="M363" i="1"/>
  <c r="A364" i="1"/>
  <c r="B364" i="1"/>
  <c r="C364" i="1"/>
  <c r="D364" i="1"/>
  <c r="E364" i="1"/>
  <c r="F364" i="1"/>
  <c r="G364" i="1"/>
  <c r="H364" i="1"/>
  <c r="I364" i="1"/>
  <c r="J364" i="1"/>
  <c r="K364" i="1"/>
  <c r="L364" i="1"/>
  <c r="M364" i="1"/>
  <c r="A365" i="1"/>
  <c r="B365" i="1"/>
  <c r="C365" i="1"/>
  <c r="D365" i="1"/>
  <c r="E365" i="1"/>
  <c r="F365" i="1"/>
  <c r="G365" i="1"/>
  <c r="H365" i="1"/>
  <c r="I365" i="1"/>
  <c r="J365" i="1"/>
  <c r="K365" i="1"/>
  <c r="L365" i="1"/>
  <c r="M365" i="1"/>
  <c r="A366" i="1"/>
  <c r="B366" i="1"/>
  <c r="C366" i="1"/>
  <c r="D366" i="1"/>
  <c r="E366" i="1"/>
  <c r="F366" i="1"/>
  <c r="G366" i="1"/>
  <c r="H366" i="1"/>
  <c r="I366" i="1"/>
  <c r="J366" i="1"/>
  <c r="K366" i="1"/>
  <c r="L366" i="1"/>
  <c r="M366" i="1"/>
  <c r="A367" i="1"/>
  <c r="B367" i="1"/>
  <c r="C367" i="1"/>
  <c r="D367" i="1"/>
  <c r="E367" i="1"/>
  <c r="F367" i="1"/>
  <c r="G367" i="1"/>
  <c r="H367" i="1"/>
  <c r="I367" i="1"/>
  <c r="J367" i="1"/>
  <c r="K367" i="1"/>
  <c r="L367" i="1"/>
  <c r="M367" i="1"/>
  <c r="A368" i="1"/>
  <c r="B368" i="1"/>
  <c r="C368" i="1"/>
  <c r="D368" i="1"/>
  <c r="E368" i="1"/>
  <c r="F368" i="1"/>
  <c r="G368" i="1"/>
  <c r="H368" i="1"/>
  <c r="I368" i="1"/>
  <c r="J368" i="1"/>
  <c r="K368" i="1"/>
  <c r="L368" i="1"/>
  <c r="M368" i="1"/>
  <c r="A369" i="1"/>
  <c r="B369" i="1"/>
  <c r="C369" i="1"/>
  <c r="D369" i="1"/>
  <c r="E369" i="1"/>
  <c r="F369" i="1"/>
  <c r="G369" i="1"/>
  <c r="H369" i="1"/>
  <c r="I369" i="1"/>
  <c r="J369" i="1"/>
  <c r="K369" i="1"/>
  <c r="L369" i="1"/>
  <c r="M369" i="1"/>
  <c r="A370" i="1"/>
  <c r="B370" i="1"/>
  <c r="C370" i="1"/>
  <c r="D370" i="1"/>
  <c r="E370" i="1"/>
  <c r="F370" i="1"/>
  <c r="G370" i="1"/>
  <c r="H370" i="1"/>
  <c r="I370" i="1"/>
  <c r="J370" i="1"/>
  <c r="K370" i="1"/>
  <c r="L370" i="1"/>
  <c r="M370" i="1"/>
  <c r="A371" i="1"/>
  <c r="B371" i="1"/>
  <c r="C371" i="1"/>
  <c r="D371" i="1"/>
  <c r="E371" i="1"/>
  <c r="F371" i="1"/>
  <c r="G371" i="1"/>
  <c r="H371" i="1"/>
  <c r="I371" i="1"/>
  <c r="J371" i="1"/>
  <c r="K371" i="1"/>
  <c r="L371" i="1"/>
  <c r="M371" i="1"/>
  <c r="A372" i="1"/>
  <c r="B372" i="1"/>
  <c r="C372" i="1"/>
  <c r="D372" i="1"/>
  <c r="E372" i="1"/>
  <c r="F372" i="1"/>
  <c r="G372" i="1"/>
  <c r="H372" i="1"/>
  <c r="I372" i="1"/>
  <c r="J372" i="1"/>
  <c r="K372" i="1"/>
  <c r="L372" i="1"/>
  <c r="M372" i="1"/>
  <c r="A373" i="1"/>
  <c r="B373" i="1"/>
  <c r="C373" i="1"/>
  <c r="D373" i="1"/>
  <c r="E373" i="1"/>
  <c r="F373" i="1"/>
  <c r="G373" i="1"/>
  <c r="H373" i="1"/>
  <c r="I373" i="1"/>
  <c r="J373" i="1"/>
  <c r="K373" i="1"/>
  <c r="L373" i="1"/>
  <c r="M373" i="1"/>
  <c r="A374" i="1"/>
  <c r="B374" i="1"/>
  <c r="C374" i="1"/>
  <c r="D374" i="1"/>
  <c r="E374" i="1"/>
  <c r="F374" i="1"/>
  <c r="G374" i="1"/>
  <c r="H374" i="1"/>
  <c r="I374" i="1"/>
  <c r="J374" i="1"/>
  <c r="K374" i="1"/>
  <c r="L374" i="1"/>
  <c r="M374" i="1"/>
  <c r="A375" i="1"/>
  <c r="B375" i="1"/>
  <c r="C375" i="1"/>
  <c r="D375" i="1"/>
  <c r="E375" i="1"/>
  <c r="F375" i="1"/>
  <c r="G375" i="1"/>
  <c r="H375" i="1"/>
  <c r="I375" i="1"/>
  <c r="J375" i="1"/>
  <c r="K375" i="1"/>
  <c r="L375" i="1"/>
  <c r="M375" i="1"/>
  <c r="A376" i="1"/>
  <c r="B376" i="1"/>
  <c r="C376" i="1"/>
  <c r="D376" i="1"/>
  <c r="E376" i="1"/>
  <c r="F376" i="1"/>
  <c r="G376" i="1"/>
  <c r="H376" i="1"/>
  <c r="I376" i="1"/>
  <c r="J376" i="1"/>
  <c r="K376" i="1"/>
  <c r="L376" i="1"/>
  <c r="M376" i="1"/>
  <c r="A377" i="1"/>
  <c r="B377" i="1"/>
  <c r="C377" i="1"/>
  <c r="D377" i="1"/>
  <c r="E377" i="1"/>
  <c r="F377" i="1"/>
  <c r="G377" i="1"/>
  <c r="H377" i="1"/>
  <c r="I377" i="1"/>
  <c r="J377" i="1"/>
  <c r="K377" i="1"/>
  <c r="L377" i="1"/>
  <c r="M377" i="1"/>
  <c r="A378" i="1"/>
  <c r="B378" i="1"/>
  <c r="C378" i="1"/>
  <c r="D378" i="1"/>
  <c r="E378" i="1"/>
  <c r="F378" i="1"/>
  <c r="G378" i="1"/>
  <c r="H378" i="1"/>
  <c r="I378" i="1"/>
  <c r="J378" i="1"/>
  <c r="K378" i="1"/>
  <c r="L378" i="1"/>
  <c r="M378" i="1"/>
  <c r="A379" i="1"/>
  <c r="B379" i="1"/>
  <c r="C379" i="1"/>
  <c r="D379" i="1"/>
  <c r="E379" i="1"/>
  <c r="F379" i="1"/>
  <c r="G379" i="1"/>
  <c r="H379" i="1"/>
  <c r="I379" i="1"/>
  <c r="J379" i="1"/>
  <c r="K379" i="1"/>
  <c r="L379" i="1"/>
  <c r="M379" i="1"/>
  <c r="A380" i="1"/>
  <c r="B380" i="1"/>
  <c r="C380" i="1"/>
  <c r="D380" i="1"/>
  <c r="E380" i="1"/>
  <c r="F380" i="1"/>
  <c r="G380" i="1"/>
  <c r="H380" i="1"/>
  <c r="I380" i="1"/>
  <c r="J380" i="1"/>
  <c r="K380" i="1"/>
  <c r="L380" i="1"/>
  <c r="M380" i="1"/>
  <c r="A381" i="1"/>
  <c r="B381" i="1"/>
  <c r="C381" i="1"/>
  <c r="D381" i="1"/>
  <c r="E381" i="1"/>
  <c r="F381" i="1"/>
  <c r="G381" i="1"/>
  <c r="H381" i="1"/>
  <c r="I381" i="1"/>
  <c r="J381" i="1"/>
  <c r="K381" i="1"/>
  <c r="L381" i="1"/>
  <c r="M381" i="1"/>
  <c r="A382" i="1"/>
  <c r="B382" i="1"/>
  <c r="C382" i="1"/>
  <c r="D382" i="1"/>
  <c r="E382" i="1"/>
  <c r="F382" i="1"/>
  <c r="G382" i="1"/>
  <c r="H382" i="1"/>
  <c r="I382" i="1"/>
  <c r="J382" i="1"/>
  <c r="K382" i="1"/>
  <c r="L382" i="1"/>
  <c r="M382" i="1"/>
  <c r="A383" i="1"/>
  <c r="B383" i="1"/>
  <c r="C383" i="1"/>
  <c r="D383" i="1"/>
  <c r="E383" i="1"/>
  <c r="F383" i="1"/>
  <c r="G383" i="1"/>
  <c r="H383" i="1"/>
  <c r="I383" i="1"/>
  <c r="J383" i="1"/>
  <c r="K383" i="1"/>
  <c r="L383" i="1"/>
  <c r="M383" i="1"/>
  <c r="A384" i="1"/>
  <c r="B384" i="1"/>
  <c r="C384" i="1"/>
  <c r="D384" i="1"/>
  <c r="E384" i="1"/>
  <c r="F384" i="1"/>
  <c r="G384" i="1"/>
  <c r="H384" i="1"/>
  <c r="I384" i="1"/>
  <c r="J384" i="1"/>
  <c r="K384" i="1"/>
  <c r="L384" i="1"/>
  <c r="M384" i="1"/>
  <c r="A385" i="1"/>
  <c r="B385" i="1"/>
  <c r="C385" i="1"/>
  <c r="D385" i="1"/>
  <c r="E385" i="1"/>
  <c r="F385" i="1"/>
  <c r="G385" i="1"/>
  <c r="H385" i="1"/>
  <c r="I385" i="1"/>
  <c r="J385" i="1"/>
  <c r="K385" i="1"/>
  <c r="L385" i="1"/>
  <c r="M385" i="1"/>
  <c r="A386" i="1"/>
  <c r="B386" i="1"/>
  <c r="C386" i="1"/>
  <c r="D386" i="1"/>
  <c r="E386" i="1"/>
  <c r="F386" i="1"/>
  <c r="G386" i="1"/>
  <c r="H386" i="1"/>
  <c r="I386" i="1"/>
  <c r="J386" i="1"/>
  <c r="K386" i="1"/>
  <c r="L386" i="1"/>
  <c r="M386" i="1"/>
  <c r="A387" i="1"/>
  <c r="B387" i="1"/>
  <c r="C387" i="1"/>
  <c r="D387" i="1"/>
  <c r="E387" i="1"/>
  <c r="F387" i="1"/>
  <c r="G387" i="1"/>
  <c r="H387" i="1"/>
  <c r="I387" i="1"/>
  <c r="J387" i="1"/>
  <c r="K387" i="1"/>
  <c r="L387" i="1"/>
  <c r="M387" i="1"/>
  <c r="A388" i="1"/>
  <c r="B388" i="1"/>
  <c r="C388" i="1"/>
  <c r="D388" i="1"/>
  <c r="E388" i="1"/>
  <c r="F388" i="1"/>
  <c r="G388" i="1"/>
  <c r="H388" i="1"/>
  <c r="I388" i="1"/>
  <c r="J388" i="1"/>
  <c r="K388" i="1"/>
  <c r="L388" i="1"/>
  <c r="M388" i="1"/>
  <c r="A389" i="1"/>
  <c r="B389" i="1"/>
  <c r="C389" i="1"/>
  <c r="D389" i="1"/>
  <c r="E389" i="1"/>
  <c r="F389" i="1"/>
  <c r="G389" i="1"/>
  <c r="H389" i="1"/>
  <c r="I389" i="1"/>
  <c r="J389" i="1"/>
  <c r="K389" i="1"/>
  <c r="L389" i="1"/>
  <c r="M389" i="1"/>
  <c r="A390" i="1"/>
  <c r="B390" i="1"/>
  <c r="C390" i="1"/>
  <c r="D390" i="1"/>
  <c r="E390" i="1"/>
  <c r="F390" i="1"/>
  <c r="G390" i="1"/>
  <c r="H390" i="1"/>
  <c r="I390" i="1"/>
  <c r="J390" i="1"/>
  <c r="K390" i="1"/>
  <c r="L390" i="1"/>
  <c r="M390" i="1"/>
  <c r="A391" i="1"/>
  <c r="B391" i="1"/>
  <c r="C391" i="1"/>
  <c r="D391" i="1"/>
  <c r="E391" i="1"/>
  <c r="F391" i="1"/>
  <c r="G391" i="1"/>
  <c r="H391" i="1"/>
  <c r="I391" i="1"/>
  <c r="J391" i="1"/>
  <c r="K391" i="1"/>
  <c r="L391" i="1"/>
  <c r="M391" i="1"/>
  <c r="A392" i="1"/>
  <c r="B392" i="1"/>
  <c r="C392" i="1"/>
  <c r="D392" i="1"/>
  <c r="E392" i="1"/>
  <c r="F392" i="1"/>
  <c r="G392" i="1"/>
  <c r="H392" i="1"/>
  <c r="I392" i="1"/>
  <c r="J392" i="1"/>
  <c r="K392" i="1"/>
  <c r="L392" i="1"/>
  <c r="M392" i="1"/>
  <c r="A393" i="1"/>
  <c r="B393" i="1"/>
  <c r="C393" i="1"/>
  <c r="D393" i="1"/>
  <c r="E393" i="1"/>
  <c r="F393" i="1"/>
  <c r="G393" i="1"/>
  <c r="H393" i="1"/>
  <c r="I393" i="1"/>
  <c r="J393" i="1"/>
  <c r="K393" i="1"/>
  <c r="L393" i="1"/>
  <c r="M393" i="1"/>
  <c r="A394" i="1"/>
  <c r="B394" i="1"/>
  <c r="C394" i="1"/>
  <c r="D394" i="1"/>
  <c r="E394" i="1"/>
  <c r="F394" i="1"/>
  <c r="G394" i="1"/>
  <c r="H394" i="1"/>
  <c r="I394" i="1"/>
  <c r="J394" i="1"/>
  <c r="K394" i="1"/>
  <c r="L394" i="1"/>
  <c r="M394" i="1"/>
  <c r="A395" i="1"/>
  <c r="B395" i="1"/>
  <c r="C395" i="1"/>
  <c r="D395" i="1"/>
  <c r="E395" i="1"/>
  <c r="F395" i="1"/>
  <c r="G395" i="1"/>
  <c r="H395" i="1"/>
  <c r="I395" i="1"/>
  <c r="J395" i="1"/>
  <c r="K395" i="1"/>
  <c r="L395" i="1"/>
  <c r="M395" i="1"/>
  <c r="A396" i="1"/>
  <c r="B396" i="1"/>
  <c r="C396" i="1"/>
  <c r="D396" i="1"/>
  <c r="E396" i="1"/>
  <c r="F396" i="1"/>
  <c r="G396" i="1"/>
  <c r="H396" i="1"/>
  <c r="I396" i="1"/>
  <c r="J396" i="1"/>
  <c r="K396" i="1"/>
  <c r="L396" i="1"/>
  <c r="M396" i="1"/>
  <c r="A397" i="1"/>
  <c r="B397" i="1"/>
  <c r="C397" i="1"/>
  <c r="D397" i="1"/>
  <c r="E397" i="1"/>
  <c r="F397" i="1"/>
  <c r="G397" i="1"/>
  <c r="H397" i="1"/>
  <c r="I397" i="1"/>
  <c r="J397" i="1"/>
  <c r="K397" i="1"/>
  <c r="L397" i="1"/>
  <c r="M397" i="1"/>
  <c r="A398" i="1"/>
  <c r="B398" i="1"/>
  <c r="C398" i="1"/>
  <c r="D398" i="1"/>
  <c r="E398" i="1"/>
  <c r="F398" i="1"/>
  <c r="G398" i="1"/>
  <c r="H398" i="1"/>
  <c r="I398" i="1"/>
  <c r="J398" i="1"/>
  <c r="K398" i="1"/>
  <c r="L398" i="1"/>
  <c r="M398" i="1"/>
  <c r="A399" i="1"/>
  <c r="B399" i="1"/>
  <c r="C399" i="1"/>
  <c r="D399" i="1"/>
  <c r="E399" i="1"/>
  <c r="F399" i="1"/>
  <c r="G399" i="1"/>
  <c r="H399" i="1"/>
  <c r="I399" i="1"/>
  <c r="J399" i="1"/>
  <c r="K399" i="1"/>
  <c r="L399" i="1"/>
  <c r="M399" i="1"/>
  <c r="A400" i="1"/>
  <c r="B400" i="1"/>
  <c r="C400" i="1"/>
  <c r="D400" i="1"/>
  <c r="E400" i="1"/>
  <c r="F400" i="1"/>
  <c r="G400" i="1"/>
  <c r="H400" i="1"/>
  <c r="I400" i="1"/>
  <c r="J400" i="1"/>
  <c r="K400" i="1"/>
  <c r="L400" i="1"/>
  <c r="M400" i="1"/>
  <c r="A401" i="1"/>
  <c r="B401" i="1"/>
  <c r="C401" i="1"/>
  <c r="D401" i="1"/>
  <c r="E401" i="1"/>
  <c r="F401" i="1"/>
  <c r="G401" i="1"/>
  <c r="H401" i="1"/>
  <c r="I401" i="1"/>
  <c r="J401" i="1"/>
  <c r="K401" i="1"/>
  <c r="L401" i="1"/>
  <c r="M401" i="1"/>
  <c r="A402" i="1"/>
  <c r="B402" i="1"/>
  <c r="C402" i="1"/>
  <c r="D402" i="1"/>
  <c r="E402" i="1"/>
  <c r="F402" i="1"/>
  <c r="G402" i="1"/>
  <c r="H402" i="1"/>
  <c r="I402" i="1"/>
  <c r="J402" i="1"/>
  <c r="K402" i="1"/>
  <c r="L402" i="1"/>
  <c r="M402" i="1"/>
  <c r="A403" i="1"/>
  <c r="B403" i="1"/>
  <c r="C403" i="1"/>
  <c r="D403" i="1"/>
  <c r="E403" i="1"/>
  <c r="F403" i="1"/>
  <c r="G403" i="1"/>
  <c r="H403" i="1"/>
  <c r="I403" i="1"/>
  <c r="J403" i="1"/>
  <c r="K403" i="1"/>
  <c r="L403" i="1"/>
  <c r="M403" i="1"/>
  <c r="A404" i="1"/>
  <c r="B404" i="1"/>
  <c r="C404" i="1"/>
  <c r="D404" i="1"/>
  <c r="E404" i="1"/>
  <c r="F404" i="1"/>
  <c r="G404" i="1"/>
  <c r="H404" i="1"/>
  <c r="I404" i="1"/>
  <c r="J404" i="1"/>
  <c r="K404" i="1"/>
  <c r="L404" i="1"/>
  <c r="M404" i="1"/>
  <c r="A405" i="1"/>
  <c r="B405" i="1"/>
  <c r="C405" i="1"/>
  <c r="D405" i="1"/>
  <c r="E405" i="1"/>
  <c r="F405" i="1"/>
  <c r="G405" i="1"/>
  <c r="H405" i="1"/>
  <c r="I405" i="1"/>
  <c r="J405" i="1"/>
  <c r="K405" i="1"/>
  <c r="L405" i="1"/>
  <c r="M405" i="1"/>
  <c r="A406" i="1"/>
  <c r="B406" i="1"/>
  <c r="C406" i="1"/>
  <c r="D406" i="1"/>
  <c r="E406" i="1"/>
  <c r="F406" i="1"/>
  <c r="G406" i="1"/>
  <c r="H406" i="1"/>
  <c r="I406" i="1"/>
  <c r="J406" i="1"/>
  <c r="K406" i="1"/>
  <c r="L406" i="1"/>
  <c r="M406" i="1"/>
  <c r="A407" i="1"/>
  <c r="B407" i="1"/>
  <c r="C407" i="1"/>
  <c r="D407" i="1"/>
  <c r="E407" i="1"/>
  <c r="F407" i="1"/>
  <c r="G407" i="1"/>
  <c r="H407" i="1"/>
  <c r="I407" i="1"/>
  <c r="J407" i="1"/>
  <c r="K407" i="1"/>
  <c r="L407" i="1"/>
  <c r="M407" i="1"/>
  <c r="A408" i="1"/>
  <c r="B408" i="1"/>
  <c r="C408" i="1"/>
  <c r="D408" i="1"/>
  <c r="E408" i="1"/>
  <c r="F408" i="1"/>
  <c r="G408" i="1"/>
  <c r="H408" i="1"/>
  <c r="I408" i="1"/>
  <c r="J408" i="1"/>
  <c r="K408" i="1"/>
  <c r="L408" i="1"/>
  <c r="M408" i="1"/>
  <c r="A409" i="1"/>
  <c r="B409" i="1"/>
  <c r="C409" i="1"/>
  <c r="D409" i="1"/>
  <c r="E409" i="1"/>
  <c r="F409" i="1"/>
  <c r="G409" i="1"/>
  <c r="H409" i="1"/>
  <c r="I409" i="1"/>
  <c r="J409" i="1"/>
  <c r="K409" i="1"/>
  <c r="L409" i="1"/>
  <c r="M409" i="1"/>
  <c r="A410" i="1"/>
  <c r="B410" i="1"/>
  <c r="C410" i="1"/>
  <c r="D410" i="1"/>
  <c r="E410" i="1"/>
  <c r="F410" i="1"/>
  <c r="G410" i="1"/>
  <c r="H410" i="1"/>
  <c r="I410" i="1"/>
  <c r="J410" i="1"/>
  <c r="K410" i="1"/>
  <c r="L410" i="1"/>
  <c r="M410" i="1"/>
  <c r="A411" i="1"/>
  <c r="B411" i="1"/>
  <c r="C411" i="1"/>
  <c r="D411" i="1"/>
  <c r="E411" i="1"/>
  <c r="F411" i="1"/>
  <c r="G411" i="1"/>
  <c r="H411" i="1"/>
  <c r="I411" i="1"/>
  <c r="J411" i="1"/>
  <c r="K411" i="1"/>
  <c r="L411" i="1"/>
  <c r="M411" i="1"/>
  <c r="A412" i="1"/>
  <c r="B412" i="1"/>
  <c r="C412" i="1"/>
  <c r="D412" i="1"/>
  <c r="E412" i="1"/>
  <c r="F412" i="1"/>
  <c r="G412" i="1"/>
  <c r="H412" i="1"/>
  <c r="I412" i="1"/>
  <c r="J412" i="1"/>
  <c r="K412" i="1"/>
  <c r="L412" i="1"/>
  <c r="M412" i="1"/>
  <c r="A413" i="1"/>
  <c r="B413" i="1"/>
  <c r="C413" i="1"/>
  <c r="D413" i="1"/>
  <c r="E413" i="1"/>
  <c r="F413" i="1"/>
  <c r="G413" i="1"/>
  <c r="H413" i="1"/>
  <c r="I413" i="1"/>
  <c r="J413" i="1"/>
  <c r="K413" i="1"/>
  <c r="L413" i="1"/>
  <c r="M413" i="1"/>
  <c r="A414" i="1"/>
  <c r="B414" i="1"/>
  <c r="C414" i="1"/>
  <c r="D414" i="1"/>
  <c r="E414" i="1"/>
  <c r="F414" i="1"/>
  <c r="G414" i="1"/>
  <c r="H414" i="1"/>
  <c r="I414" i="1"/>
  <c r="J414" i="1"/>
  <c r="K414" i="1"/>
  <c r="L414" i="1"/>
  <c r="M414" i="1"/>
  <c r="A415" i="1"/>
  <c r="B415" i="1"/>
  <c r="C415" i="1"/>
  <c r="D415" i="1"/>
  <c r="E415" i="1"/>
  <c r="F415" i="1"/>
  <c r="G415" i="1"/>
  <c r="H415" i="1"/>
  <c r="I415" i="1"/>
  <c r="J415" i="1"/>
  <c r="K415" i="1"/>
  <c r="L415" i="1"/>
  <c r="M415" i="1"/>
  <c r="A416" i="1"/>
  <c r="B416" i="1"/>
  <c r="C416" i="1"/>
  <c r="D416" i="1"/>
  <c r="E416" i="1"/>
  <c r="F416" i="1"/>
  <c r="G416" i="1"/>
  <c r="H416" i="1"/>
  <c r="I416" i="1"/>
  <c r="J416" i="1"/>
  <c r="K416" i="1"/>
  <c r="L416" i="1"/>
  <c r="M416" i="1"/>
  <c r="A417" i="1"/>
  <c r="B417" i="1"/>
  <c r="C417" i="1"/>
  <c r="D417" i="1"/>
  <c r="E417" i="1"/>
  <c r="F417" i="1"/>
  <c r="G417" i="1"/>
  <c r="H417" i="1"/>
  <c r="I417" i="1"/>
  <c r="J417" i="1"/>
  <c r="K417" i="1"/>
  <c r="L417" i="1"/>
  <c r="M417" i="1"/>
  <c r="A418" i="1"/>
  <c r="B418" i="1"/>
  <c r="C418" i="1"/>
  <c r="D418" i="1"/>
  <c r="E418" i="1"/>
  <c r="F418" i="1"/>
  <c r="G418" i="1"/>
  <c r="H418" i="1"/>
  <c r="I418" i="1"/>
  <c r="J418" i="1"/>
  <c r="K418" i="1"/>
  <c r="L418" i="1"/>
  <c r="M418" i="1"/>
  <c r="A419" i="1"/>
  <c r="B419" i="1"/>
  <c r="C419" i="1"/>
  <c r="D419" i="1"/>
  <c r="E419" i="1"/>
  <c r="F419" i="1"/>
  <c r="G419" i="1"/>
  <c r="H419" i="1"/>
  <c r="I419" i="1"/>
  <c r="J419" i="1"/>
  <c r="K419" i="1"/>
  <c r="L419" i="1"/>
  <c r="M419" i="1"/>
  <c r="A420" i="1"/>
  <c r="B420" i="1"/>
  <c r="C420" i="1"/>
  <c r="D420" i="1"/>
  <c r="E420" i="1"/>
  <c r="F420" i="1"/>
  <c r="G420" i="1"/>
  <c r="H420" i="1"/>
  <c r="I420" i="1"/>
  <c r="J420" i="1"/>
  <c r="K420" i="1"/>
  <c r="L420" i="1"/>
  <c r="M420" i="1"/>
  <c r="A421" i="1"/>
  <c r="B421" i="1"/>
  <c r="C421" i="1"/>
  <c r="D421" i="1"/>
  <c r="E421" i="1"/>
  <c r="F421" i="1"/>
  <c r="G421" i="1"/>
  <c r="H421" i="1"/>
  <c r="I421" i="1"/>
  <c r="J421" i="1"/>
  <c r="K421" i="1"/>
  <c r="L421" i="1"/>
  <c r="M421" i="1"/>
  <c r="A422" i="1"/>
  <c r="B422" i="1"/>
  <c r="C422" i="1"/>
  <c r="D422" i="1"/>
  <c r="E422" i="1"/>
  <c r="F422" i="1"/>
  <c r="G422" i="1"/>
  <c r="H422" i="1"/>
  <c r="I422" i="1"/>
  <c r="J422" i="1"/>
  <c r="K422" i="1"/>
  <c r="L422" i="1"/>
  <c r="M422" i="1"/>
  <c r="A423" i="1"/>
  <c r="B423" i="1"/>
  <c r="C423" i="1"/>
  <c r="D423" i="1"/>
  <c r="E423" i="1"/>
  <c r="F423" i="1"/>
  <c r="G423" i="1"/>
  <c r="H423" i="1"/>
  <c r="I423" i="1"/>
  <c r="J423" i="1"/>
  <c r="K423" i="1"/>
  <c r="L423" i="1"/>
  <c r="M423" i="1"/>
  <c r="A424" i="1"/>
  <c r="B424" i="1"/>
  <c r="C424" i="1"/>
  <c r="D424" i="1"/>
  <c r="E424" i="1"/>
  <c r="F424" i="1"/>
  <c r="G424" i="1"/>
  <c r="H424" i="1"/>
  <c r="I424" i="1"/>
  <c r="J424" i="1"/>
  <c r="K424" i="1"/>
  <c r="L424" i="1"/>
  <c r="M424" i="1"/>
  <c r="A425" i="1"/>
  <c r="B425" i="1"/>
  <c r="C425" i="1"/>
  <c r="D425" i="1"/>
  <c r="E425" i="1"/>
  <c r="F425" i="1"/>
  <c r="G425" i="1"/>
  <c r="H425" i="1"/>
  <c r="I425" i="1"/>
  <c r="J425" i="1"/>
  <c r="K425" i="1"/>
  <c r="L425" i="1"/>
  <c r="M425" i="1"/>
  <c r="A426" i="1"/>
  <c r="B426" i="1"/>
  <c r="C426" i="1"/>
  <c r="D426" i="1"/>
  <c r="E426" i="1"/>
  <c r="F426" i="1"/>
  <c r="G426" i="1"/>
  <c r="H426" i="1"/>
  <c r="I426" i="1"/>
  <c r="J426" i="1"/>
  <c r="K426" i="1"/>
  <c r="L426" i="1"/>
  <c r="M426" i="1"/>
  <c r="A427" i="1"/>
  <c r="B427" i="1"/>
  <c r="C427" i="1"/>
  <c r="D427" i="1"/>
  <c r="E427" i="1"/>
  <c r="F427" i="1"/>
  <c r="G427" i="1"/>
  <c r="H427" i="1"/>
  <c r="I427" i="1"/>
  <c r="J427" i="1"/>
  <c r="K427" i="1"/>
  <c r="L427" i="1"/>
  <c r="M427" i="1"/>
  <c r="A428" i="1"/>
  <c r="B428" i="1"/>
  <c r="C428" i="1"/>
  <c r="D428" i="1"/>
  <c r="E428" i="1"/>
  <c r="F428" i="1"/>
  <c r="G428" i="1"/>
  <c r="H428" i="1"/>
  <c r="I428" i="1"/>
  <c r="J428" i="1"/>
  <c r="K428" i="1"/>
  <c r="L428" i="1"/>
  <c r="M428" i="1"/>
  <c r="A429" i="1"/>
  <c r="B429" i="1"/>
  <c r="C429" i="1"/>
  <c r="D429" i="1"/>
  <c r="E429" i="1"/>
  <c r="F429" i="1"/>
  <c r="G429" i="1"/>
  <c r="H429" i="1"/>
  <c r="I429" i="1"/>
  <c r="J429" i="1"/>
  <c r="K429" i="1"/>
  <c r="L429" i="1"/>
  <c r="M429" i="1"/>
  <c r="A430" i="1"/>
  <c r="B430" i="1"/>
  <c r="C430" i="1"/>
  <c r="D430" i="1"/>
  <c r="E430" i="1"/>
  <c r="F430" i="1"/>
  <c r="G430" i="1"/>
  <c r="H430" i="1"/>
  <c r="I430" i="1"/>
  <c r="J430" i="1"/>
  <c r="K430" i="1"/>
  <c r="L430" i="1"/>
  <c r="M430" i="1"/>
  <c r="A431" i="1"/>
  <c r="B431" i="1"/>
  <c r="C431" i="1"/>
  <c r="D431" i="1"/>
  <c r="E431" i="1"/>
  <c r="F431" i="1"/>
  <c r="G431" i="1"/>
  <c r="H431" i="1"/>
  <c r="I431" i="1"/>
  <c r="J431" i="1"/>
  <c r="K431" i="1"/>
  <c r="L431" i="1"/>
  <c r="M431" i="1"/>
  <c r="A432" i="1"/>
  <c r="B432" i="1"/>
  <c r="C432" i="1"/>
  <c r="D432" i="1"/>
  <c r="E432" i="1"/>
  <c r="F432" i="1"/>
  <c r="G432" i="1"/>
  <c r="H432" i="1"/>
  <c r="I432" i="1"/>
  <c r="J432" i="1"/>
  <c r="K432" i="1"/>
  <c r="L432" i="1"/>
  <c r="M432" i="1"/>
  <c r="A433" i="1"/>
  <c r="B433" i="1"/>
  <c r="C433" i="1"/>
  <c r="D433" i="1"/>
  <c r="E433" i="1"/>
  <c r="F433" i="1"/>
  <c r="G433" i="1"/>
  <c r="H433" i="1"/>
  <c r="I433" i="1"/>
  <c r="J433" i="1"/>
  <c r="K433" i="1"/>
  <c r="L433" i="1"/>
  <c r="M433" i="1"/>
  <c r="A434" i="1"/>
  <c r="B434" i="1"/>
  <c r="C434" i="1"/>
  <c r="D434" i="1"/>
  <c r="E434" i="1"/>
  <c r="F434" i="1"/>
  <c r="G434" i="1"/>
  <c r="H434" i="1"/>
  <c r="I434" i="1"/>
  <c r="J434" i="1"/>
  <c r="K434" i="1"/>
  <c r="L434" i="1"/>
  <c r="M434" i="1"/>
  <c r="A435" i="1"/>
  <c r="B435" i="1"/>
  <c r="C435" i="1"/>
  <c r="D435" i="1"/>
  <c r="E435" i="1"/>
  <c r="F435" i="1"/>
  <c r="G435" i="1"/>
  <c r="H435" i="1"/>
  <c r="I435" i="1"/>
  <c r="J435" i="1"/>
  <c r="K435" i="1"/>
  <c r="L435" i="1"/>
  <c r="M435" i="1"/>
  <c r="A436" i="1"/>
  <c r="B436" i="1"/>
  <c r="C436" i="1"/>
  <c r="D436" i="1"/>
  <c r="E436" i="1"/>
  <c r="F436" i="1"/>
  <c r="G436" i="1"/>
  <c r="H436" i="1"/>
  <c r="I436" i="1"/>
  <c r="J436" i="1"/>
  <c r="K436" i="1"/>
  <c r="L436" i="1"/>
  <c r="M436" i="1"/>
  <c r="A437" i="1"/>
  <c r="B437" i="1"/>
  <c r="C437" i="1"/>
  <c r="D437" i="1"/>
  <c r="E437" i="1"/>
  <c r="F437" i="1"/>
  <c r="G437" i="1"/>
  <c r="H437" i="1"/>
  <c r="I437" i="1"/>
  <c r="J437" i="1"/>
  <c r="K437" i="1"/>
  <c r="L437" i="1"/>
  <c r="M437" i="1"/>
  <c r="A438" i="1"/>
  <c r="B438" i="1"/>
  <c r="C438" i="1"/>
  <c r="D438" i="1"/>
  <c r="E438" i="1"/>
  <c r="F438" i="1"/>
  <c r="G438" i="1"/>
  <c r="H438" i="1"/>
  <c r="I438" i="1"/>
  <c r="J438" i="1"/>
  <c r="K438" i="1"/>
  <c r="L438" i="1"/>
  <c r="M438" i="1"/>
  <c r="A439" i="1"/>
  <c r="B439" i="1"/>
  <c r="C439" i="1"/>
  <c r="D439" i="1"/>
  <c r="E439" i="1"/>
  <c r="F439" i="1"/>
  <c r="G439" i="1"/>
  <c r="H439" i="1"/>
  <c r="I439" i="1"/>
  <c r="J439" i="1"/>
  <c r="K439" i="1"/>
  <c r="L439" i="1"/>
  <c r="M439" i="1"/>
  <c r="A440" i="1"/>
  <c r="B440" i="1"/>
  <c r="C440" i="1"/>
  <c r="D440" i="1"/>
  <c r="E440" i="1"/>
  <c r="F440" i="1"/>
  <c r="G440" i="1"/>
  <c r="H440" i="1"/>
  <c r="I440" i="1"/>
  <c r="J440" i="1"/>
  <c r="K440" i="1"/>
  <c r="L440" i="1"/>
  <c r="M440" i="1"/>
  <c r="A441" i="1"/>
  <c r="B441" i="1"/>
  <c r="C441" i="1"/>
  <c r="D441" i="1"/>
  <c r="E441" i="1"/>
  <c r="F441" i="1"/>
  <c r="G441" i="1"/>
  <c r="H441" i="1"/>
  <c r="I441" i="1"/>
  <c r="J441" i="1"/>
  <c r="K441" i="1"/>
  <c r="L441" i="1"/>
  <c r="M441" i="1"/>
  <c r="A442" i="1"/>
  <c r="B442" i="1"/>
  <c r="C442" i="1"/>
  <c r="D442" i="1"/>
  <c r="E442" i="1"/>
  <c r="F442" i="1"/>
  <c r="G442" i="1"/>
  <c r="H442" i="1"/>
  <c r="I442" i="1"/>
  <c r="J442" i="1"/>
  <c r="K442" i="1"/>
  <c r="L442" i="1"/>
  <c r="M442" i="1"/>
  <c r="A443" i="1"/>
  <c r="B443" i="1"/>
  <c r="C443" i="1"/>
  <c r="D443" i="1"/>
  <c r="E443" i="1"/>
  <c r="F443" i="1"/>
  <c r="G443" i="1"/>
  <c r="H443" i="1"/>
  <c r="I443" i="1"/>
  <c r="J443" i="1"/>
  <c r="K443" i="1"/>
  <c r="L443" i="1"/>
  <c r="M443" i="1"/>
  <c r="A444" i="1"/>
  <c r="B444" i="1"/>
  <c r="C444" i="1"/>
  <c r="D444" i="1"/>
  <c r="E444" i="1"/>
  <c r="F444" i="1"/>
  <c r="G444" i="1"/>
  <c r="H444" i="1"/>
  <c r="I444" i="1"/>
  <c r="J444" i="1"/>
  <c r="K444" i="1"/>
  <c r="L444" i="1"/>
  <c r="M444" i="1"/>
  <c r="A445" i="1"/>
  <c r="B445" i="1"/>
  <c r="C445" i="1"/>
  <c r="D445" i="1"/>
  <c r="E445" i="1"/>
  <c r="F445" i="1"/>
  <c r="G445" i="1"/>
  <c r="H445" i="1"/>
  <c r="I445" i="1"/>
  <c r="J445" i="1"/>
  <c r="K445" i="1"/>
  <c r="L445" i="1"/>
  <c r="M445" i="1"/>
  <c r="A446" i="1"/>
  <c r="B446" i="1"/>
  <c r="C446" i="1"/>
  <c r="D446" i="1"/>
  <c r="E446" i="1"/>
  <c r="F446" i="1"/>
  <c r="G446" i="1"/>
  <c r="H446" i="1"/>
  <c r="I446" i="1"/>
  <c r="J446" i="1"/>
  <c r="K446" i="1"/>
  <c r="L446" i="1"/>
  <c r="M446" i="1"/>
  <c r="A447" i="1"/>
  <c r="B447" i="1"/>
  <c r="C447" i="1"/>
  <c r="D447" i="1"/>
  <c r="E447" i="1"/>
  <c r="F447" i="1"/>
  <c r="G447" i="1"/>
  <c r="H447" i="1"/>
  <c r="I447" i="1"/>
  <c r="J447" i="1"/>
  <c r="K447" i="1"/>
  <c r="L447" i="1"/>
  <c r="M447" i="1"/>
  <c r="A448" i="1"/>
  <c r="B448" i="1"/>
  <c r="C448" i="1"/>
  <c r="D448" i="1"/>
  <c r="E448" i="1"/>
  <c r="F448" i="1"/>
  <c r="G448" i="1"/>
  <c r="H448" i="1"/>
  <c r="I448" i="1"/>
  <c r="J448" i="1"/>
  <c r="K448" i="1"/>
  <c r="L448" i="1"/>
  <c r="M448" i="1"/>
  <c r="A449" i="1"/>
  <c r="B449" i="1"/>
  <c r="C449" i="1"/>
  <c r="D449" i="1"/>
  <c r="E449" i="1"/>
  <c r="F449" i="1"/>
  <c r="G449" i="1"/>
  <c r="H449" i="1"/>
  <c r="I449" i="1"/>
  <c r="J449" i="1"/>
  <c r="K449" i="1"/>
  <c r="L449" i="1"/>
  <c r="M449" i="1"/>
  <c r="A450" i="1"/>
  <c r="B450" i="1"/>
  <c r="C450" i="1"/>
  <c r="D450" i="1"/>
  <c r="E450" i="1"/>
  <c r="F450" i="1"/>
  <c r="G450" i="1"/>
  <c r="H450" i="1"/>
  <c r="I450" i="1"/>
  <c r="J450" i="1"/>
  <c r="K450" i="1"/>
  <c r="L450" i="1"/>
  <c r="M450" i="1"/>
  <c r="A451" i="1"/>
  <c r="B451" i="1"/>
  <c r="C451" i="1"/>
  <c r="D451" i="1"/>
  <c r="E451" i="1"/>
  <c r="F451" i="1"/>
  <c r="G451" i="1"/>
  <c r="H451" i="1"/>
  <c r="I451" i="1"/>
  <c r="J451" i="1"/>
  <c r="K451" i="1"/>
  <c r="L451" i="1"/>
  <c r="M451" i="1"/>
  <c r="A452" i="1"/>
  <c r="B452" i="1"/>
  <c r="C452" i="1"/>
  <c r="D452" i="1"/>
  <c r="E452" i="1"/>
  <c r="F452" i="1"/>
  <c r="G452" i="1"/>
  <c r="H452" i="1"/>
  <c r="I452" i="1"/>
  <c r="J452" i="1"/>
  <c r="K452" i="1"/>
  <c r="L452" i="1"/>
  <c r="M452" i="1"/>
  <c r="A453" i="1"/>
  <c r="B453" i="1"/>
  <c r="C453" i="1"/>
  <c r="D453" i="1"/>
  <c r="E453" i="1"/>
  <c r="F453" i="1"/>
  <c r="G453" i="1"/>
  <c r="H453" i="1"/>
  <c r="I453" i="1"/>
  <c r="J453" i="1"/>
  <c r="K453" i="1"/>
  <c r="L453" i="1"/>
  <c r="M453" i="1"/>
  <c r="A454" i="1"/>
  <c r="B454" i="1"/>
  <c r="C454" i="1"/>
  <c r="D454" i="1"/>
  <c r="E454" i="1"/>
  <c r="F454" i="1"/>
  <c r="G454" i="1"/>
  <c r="H454" i="1"/>
  <c r="I454" i="1"/>
  <c r="J454" i="1"/>
  <c r="K454" i="1"/>
  <c r="L454" i="1"/>
  <c r="M454" i="1"/>
  <c r="A455" i="1"/>
  <c r="B455" i="1"/>
  <c r="C455" i="1"/>
  <c r="D455" i="1"/>
  <c r="E455" i="1"/>
  <c r="F455" i="1"/>
  <c r="G455" i="1"/>
  <c r="H455" i="1"/>
  <c r="I455" i="1"/>
  <c r="J455" i="1"/>
  <c r="K455" i="1"/>
  <c r="L455" i="1"/>
  <c r="M455" i="1"/>
  <c r="A456" i="1"/>
  <c r="B456" i="1"/>
  <c r="C456" i="1"/>
  <c r="D456" i="1"/>
  <c r="E456" i="1"/>
  <c r="F456" i="1"/>
  <c r="G456" i="1"/>
  <c r="H456" i="1"/>
  <c r="I456" i="1"/>
  <c r="J456" i="1"/>
  <c r="K456" i="1"/>
  <c r="L456" i="1"/>
  <c r="M456" i="1"/>
  <c r="A457" i="1"/>
  <c r="B457" i="1"/>
  <c r="C457" i="1"/>
  <c r="D457" i="1"/>
  <c r="E457" i="1"/>
  <c r="F457" i="1"/>
  <c r="G457" i="1"/>
  <c r="H457" i="1"/>
  <c r="I457" i="1"/>
  <c r="J457" i="1"/>
  <c r="K457" i="1"/>
  <c r="L457" i="1"/>
  <c r="M457" i="1"/>
  <c r="A458" i="1"/>
  <c r="B458" i="1"/>
  <c r="C458" i="1"/>
  <c r="D458" i="1"/>
  <c r="E458" i="1"/>
  <c r="F458" i="1"/>
  <c r="G458" i="1"/>
  <c r="H458" i="1"/>
  <c r="I458" i="1"/>
  <c r="J458" i="1"/>
  <c r="K458" i="1"/>
  <c r="L458" i="1"/>
  <c r="M458" i="1"/>
  <c r="A459" i="1"/>
  <c r="B459" i="1"/>
  <c r="C459" i="1"/>
  <c r="D459" i="1"/>
  <c r="E459" i="1"/>
  <c r="F459" i="1"/>
  <c r="G459" i="1"/>
  <c r="H459" i="1"/>
  <c r="I459" i="1"/>
  <c r="J459" i="1"/>
  <c r="K459" i="1"/>
  <c r="L459" i="1"/>
  <c r="M459" i="1"/>
  <c r="A460" i="1"/>
  <c r="B460" i="1"/>
  <c r="C460" i="1"/>
  <c r="D460" i="1"/>
  <c r="E460" i="1"/>
  <c r="F460" i="1"/>
  <c r="G460" i="1"/>
  <c r="H460" i="1"/>
  <c r="I460" i="1"/>
  <c r="J460" i="1"/>
  <c r="K460" i="1"/>
  <c r="L460" i="1"/>
  <c r="M460" i="1"/>
  <c r="A461" i="1"/>
  <c r="B461" i="1"/>
  <c r="C461" i="1"/>
  <c r="D461" i="1"/>
  <c r="E461" i="1"/>
  <c r="F461" i="1"/>
  <c r="G461" i="1"/>
  <c r="H461" i="1"/>
  <c r="I461" i="1"/>
  <c r="J461" i="1"/>
  <c r="K461" i="1"/>
  <c r="L461" i="1"/>
  <c r="M461" i="1"/>
  <c r="A462" i="1"/>
  <c r="B462" i="1"/>
  <c r="C462" i="1"/>
  <c r="D462" i="1"/>
  <c r="E462" i="1"/>
  <c r="F462" i="1"/>
  <c r="G462" i="1"/>
  <c r="H462" i="1"/>
  <c r="I462" i="1"/>
  <c r="J462" i="1"/>
  <c r="K462" i="1"/>
  <c r="L462" i="1"/>
  <c r="M462" i="1"/>
  <c r="A463" i="1"/>
  <c r="B463" i="1"/>
  <c r="C463" i="1"/>
  <c r="D463" i="1"/>
  <c r="E463" i="1"/>
  <c r="F463" i="1"/>
  <c r="G463" i="1"/>
  <c r="H463" i="1"/>
  <c r="I463" i="1"/>
  <c r="J463" i="1"/>
  <c r="K463" i="1"/>
  <c r="L463" i="1"/>
  <c r="M463" i="1"/>
  <c r="A464" i="1"/>
  <c r="B464" i="1"/>
  <c r="C464" i="1"/>
  <c r="D464" i="1"/>
  <c r="E464" i="1"/>
  <c r="F464" i="1"/>
  <c r="G464" i="1"/>
  <c r="H464" i="1"/>
  <c r="I464" i="1"/>
  <c r="J464" i="1"/>
  <c r="K464" i="1"/>
  <c r="L464" i="1"/>
  <c r="M464" i="1"/>
  <c r="A465" i="1"/>
  <c r="B465" i="1"/>
  <c r="C465" i="1"/>
  <c r="D465" i="1"/>
  <c r="E465" i="1"/>
  <c r="F465" i="1"/>
  <c r="G465" i="1"/>
  <c r="H465" i="1"/>
  <c r="I465" i="1"/>
  <c r="J465" i="1"/>
  <c r="K465" i="1"/>
  <c r="L465" i="1"/>
  <c r="M465" i="1"/>
  <c r="A466" i="1"/>
  <c r="B466" i="1"/>
  <c r="C466" i="1"/>
  <c r="D466" i="1"/>
  <c r="E466" i="1"/>
  <c r="F466" i="1"/>
  <c r="G466" i="1"/>
  <c r="H466" i="1"/>
  <c r="I466" i="1"/>
  <c r="J466" i="1"/>
  <c r="K466" i="1"/>
  <c r="L466" i="1"/>
  <c r="M466" i="1"/>
  <c r="A467" i="1"/>
  <c r="B467" i="1"/>
  <c r="C467" i="1"/>
  <c r="D467" i="1"/>
  <c r="E467" i="1"/>
  <c r="F467" i="1"/>
  <c r="G467" i="1"/>
  <c r="H467" i="1"/>
  <c r="I467" i="1"/>
  <c r="J467" i="1"/>
  <c r="K467" i="1"/>
  <c r="L467" i="1"/>
  <c r="M467" i="1"/>
  <c r="A468" i="1"/>
  <c r="B468" i="1"/>
  <c r="C468" i="1"/>
  <c r="D468" i="1"/>
  <c r="E468" i="1"/>
  <c r="F468" i="1"/>
  <c r="G468" i="1"/>
  <c r="H468" i="1"/>
  <c r="I468" i="1"/>
  <c r="J468" i="1"/>
  <c r="K468" i="1"/>
  <c r="L468" i="1"/>
  <c r="M468" i="1"/>
  <c r="A469" i="1"/>
  <c r="B469" i="1"/>
  <c r="C469" i="1"/>
  <c r="D469" i="1"/>
  <c r="E469" i="1"/>
  <c r="F469" i="1"/>
  <c r="G469" i="1"/>
  <c r="H469" i="1"/>
  <c r="I469" i="1"/>
  <c r="J469" i="1"/>
  <c r="K469" i="1"/>
  <c r="L469" i="1"/>
  <c r="M469" i="1"/>
  <c r="A470" i="1"/>
  <c r="B470" i="1"/>
  <c r="C470" i="1"/>
  <c r="D470" i="1"/>
  <c r="E470" i="1"/>
  <c r="F470" i="1"/>
  <c r="G470" i="1"/>
  <c r="H470" i="1"/>
  <c r="I470" i="1"/>
  <c r="J470" i="1"/>
  <c r="K470" i="1"/>
  <c r="L470" i="1"/>
  <c r="M470" i="1"/>
  <c r="A471" i="1"/>
  <c r="B471" i="1"/>
  <c r="C471" i="1"/>
  <c r="D471" i="1"/>
  <c r="E471" i="1"/>
  <c r="F471" i="1"/>
  <c r="G471" i="1"/>
  <c r="H471" i="1"/>
  <c r="I471" i="1"/>
  <c r="J471" i="1"/>
  <c r="K471" i="1"/>
  <c r="L471" i="1"/>
  <c r="M471" i="1"/>
  <c r="A472" i="1"/>
  <c r="B472" i="1"/>
  <c r="C472" i="1"/>
  <c r="D472" i="1"/>
  <c r="E472" i="1"/>
  <c r="F472" i="1"/>
  <c r="G472" i="1"/>
  <c r="H472" i="1"/>
  <c r="I472" i="1"/>
  <c r="J472" i="1"/>
  <c r="K472" i="1"/>
  <c r="L472" i="1"/>
  <c r="M472" i="1"/>
  <c r="A473" i="1"/>
  <c r="B473" i="1"/>
  <c r="C473" i="1"/>
  <c r="D473" i="1"/>
  <c r="E473" i="1"/>
  <c r="F473" i="1"/>
  <c r="G473" i="1"/>
  <c r="H473" i="1"/>
  <c r="I473" i="1"/>
  <c r="J473" i="1"/>
  <c r="K473" i="1"/>
  <c r="L473" i="1"/>
  <c r="M473" i="1"/>
  <c r="A474" i="1"/>
  <c r="B474" i="1"/>
  <c r="C474" i="1"/>
  <c r="D474" i="1"/>
  <c r="E474" i="1"/>
  <c r="F474" i="1"/>
  <c r="G474" i="1"/>
  <c r="H474" i="1"/>
  <c r="I474" i="1"/>
  <c r="J474" i="1"/>
  <c r="K474" i="1"/>
  <c r="L474" i="1"/>
  <c r="M474" i="1"/>
  <c r="A475" i="1"/>
  <c r="B475" i="1"/>
  <c r="C475" i="1"/>
  <c r="D475" i="1"/>
  <c r="E475" i="1"/>
  <c r="F475" i="1"/>
  <c r="G475" i="1"/>
  <c r="H475" i="1"/>
  <c r="I475" i="1"/>
  <c r="J475" i="1"/>
  <c r="K475" i="1"/>
  <c r="L475" i="1"/>
  <c r="M475" i="1"/>
  <c r="A476" i="1"/>
  <c r="B476" i="1"/>
  <c r="C476" i="1"/>
  <c r="D476" i="1"/>
  <c r="E476" i="1"/>
  <c r="F476" i="1"/>
  <c r="G476" i="1"/>
  <c r="H476" i="1"/>
  <c r="I476" i="1"/>
  <c r="J476" i="1"/>
  <c r="K476" i="1"/>
  <c r="L476" i="1"/>
  <c r="M476" i="1"/>
  <c r="A477" i="1"/>
  <c r="B477" i="1"/>
  <c r="C477" i="1"/>
  <c r="D477" i="1"/>
  <c r="E477" i="1"/>
  <c r="F477" i="1"/>
  <c r="G477" i="1"/>
  <c r="H477" i="1"/>
  <c r="I477" i="1"/>
  <c r="J477" i="1"/>
  <c r="K477" i="1"/>
  <c r="L477" i="1"/>
  <c r="M477" i="1"/>
  <c r="A478" i="1"/>
  <c r="B478" i="1"/>
  <c r="C478" i="1"/>
  <c r="D478" i="1"/>
  <c r="E478" i="1"/>
  <c r="F478" i="1"/>
  <c r="G478" i="1"/>
  <c r="H478" i="1"/>
  <c r="I478" i="1"/>
  <c r="J478" i="1"/>
  <c r="K478" i="1"/>
  <c r="L478" i="1"/>
  <c r="M478" i="1"/>
  <c r="A479" i="1"/>
  <c r="B479" i="1"/>
  <c r="C479" i="1"/>
  <c r="D479" i="1"/>
  <c r="E479" i="1"/>
  <c r="F479" i="1"/>
  <c r="G479" i="1"/>
  <c r="H479" i="1"/>
  <c r="I479" i="1"/>
  <c r="J479" i="1"/>
  <c r="K479" i="1"/>
  <c r="L479" i="1"/>
  <c r="M479" i="1"/>
  <c r="A480" i="1"/>
  <c r="B480" i="1"/>
  <c r="C480" i="1"/>
  <c r="D480" i="1"/>
  <c r="E480" i="1"/>
  <c r="F480" i="1"/>
  <c r="G480" i="1"/>
  <c r="H480" i="1"/>
  <c r="I480" i="1"/>
  <c r="J480" i="1"/>
  <c r="K480" i="1"/>
  <c r="L480" i="1"/>
  <c r="M480" i="1"/>
  <c r="A481" i="1"/>
  <c r="B481" i="1"/>
  <c r="C481" i="1"/>
  <c r="D481" i="1"/>
  <c r="E481" i="1"/>
  <c r="F481" i="1"/>
  <c r="G481" i="1"/>
  <c r="H481" i="1"/>
  <c r="I481" i="1"/>
  <c r="J481" i="1"/>
  <c r="K481" i="1"/>
  <c r="L481" i="1"/>
  <c r="M481" i="1"/>
  <c r="A482" i="1"/>
  <c r="B482" i="1"/>
  <c r="C482" i="1"/>
  <c r="D482" i="1"/>
  <c r="E482" i="1"/>
  <c r="F482" i="1"/>
  <c r="G482" i="1"/>
  <c r="H482" i="1"/>
  <c r="I482" i="1"/>
  <c r="J482" i="1"/>
  <c r="K482" i="1"/>
  <c r="L482" i="1"/>
  <c r="M482" i="1"/>
  <c r="A483" i="1"/>
  <c r="B483" i="1"/>
  <c r="C483" i="1"/>
  <c r="D483" i="1"/>
  <c r="E483" i="1"/>
  <c r="F483" i="1"/>
  <c r="G483" i="1"/>
  <c r="H483" i="1"/>
  <c r="I483" i="1"/>
  <c r="J483" i="1"/>
  <c r="K483" i="1"/>
  <c r="L483" i="1"/>
  <c r="M483" i="1"/>
  <c r="A484" i="1"/>
  <c r="B484" i="1"/>
  <c r="C484" i="1"/>
  <c r="D484" i="1"/>
  <c r="E484" i="1"/>
  <c r="F484" i="1"/>
  <c r="G484" i="1"/>
  <c r="H484" i="1"/>
  <c r="I484" i="1"/>
  <c r="J484" i="1"/>
  <c r="K484" i="1"/>
  <c r="L484" i="1"/>
  <c r="M484" i="1"/>
  <c r="A485" i="1"/>
  <c r="B485" i="1"/>
  <c r="C485" i="1"/>
  <c r="D485" i="1"/>
  <c r="E485" i="1"/>
  <c r="F485" i="1"/>
  <c r="G485" i="1"/>
  <c r="H485" i="1"/>
  <c r="I485" i="1"/>
  <c r="J485" i="1"/>
  <c r="K485" i="1"/>
  <c r="L485" i="1"/>
  <c r="M485" i="1"/>
  <c r="A486" i="1"/>
  <c r="B486" i="1"/>
  <c r="C486" i="1"/>
  <c r="D486" i="1"/>
  <c r="E486" i="1"/>
  <c r="F486" i="1"/>
  <c r="G486" i="1"/>
  <c r="H486" i="1"/>
  <c r="I486" i="1"/>
  <c r="J486" i="1"/>
  <c r="K486" i="1"/>
  <c r="L486" i="1"/>
  <c r="M486" i="1"/>
  <c r="A487" i="1"/>
  <c r="B487" i="1"/>
  <c r="C487" i="1"/>
  <c r="D487" i="1"/>
  <c r="E487" i="1"/>
  <c r="F487" i="1"/>
  <c r="G487" i="1"/>
  <c r="H487" i="1"/>
  <c r="I487" i="1"/>
  <c r="J487" i="1"/>
  <c r="K487" i="1"/>
  <c r="L487" i="1"/>
  <c r="M487" i="1"/>
  <c r="A488" i="1"/>
  <c r="B488" i="1"/>
  <c r="C488" i="1"/>
  <c r="D488" i="1"/>
  <c r="E488" i="1"/>
  <c r="F488" i="1"/>
  <c r="G488" i="1"/>
  <c r="H488" i="1"/>
  <c r="I488" i="1"/>
  <c r="J488" i="1"/>
  <c r="K488" i="1"/>
  <c r="L488" i="1"/>
  <c r="M488" i="1"/>
  <c r="A489" i="1"/>
  <c r="B489" i="1"/>
  <c r="C489" i="1"/>
  <c r="D489" i="1"/>
  <c r="E489" i="1"/>
  <c r="F489" i="1"/>
  <c r="G489" i="1"/>
  <c r="H489" i="1"/>
  <c r="I489" i="1"/>
  <c r="J489" i="1"/>
  <c r="K489" i="1"/>
  <c r="L489" i="1"/>
  <c r="M489" i="1"/>
  <c r="A490" i="1"/>
  <c r="B490" i="1"/>
  <c r="C490" i="1"/>
  <c r="D490" i="1"/>
  <c r="E490" i="1"/>
  <c r="F490" i="1"/>
  <c r="G490" i="1"/>
  <c r="H490" i="1"/>
  <c r="I490" i="1"/>
  <c r="J490" i="1"/>
  <c r="K490" i="1"/>
  <c r="L490" i="1"/>
  <c r="M490" i="1"/>
  <c r="A491" i="1"/>
  <c r="B491" i="1"/>
  <c r="C491" i="1"/>
  <c r="D491" i="1"/>
  <c r="E491" i="1"/>
  <c r="F491" i="1"/>
  <c r="G491" i="1"/>
  <c r="H491" i="1"/>
  <c r="I491" i="1"/>
  <c r="J491" i="1"/>
  <c r="K491" i="1"/>
  <c r="L491" i="1"/>
  <c r="M491" i="1"/>
  <c r="A492" i="1"/>
  <c r="B492" i="1"/>
  <c r="C492" i="1"/>
  <c r="D492" i="1"/>
  <c r="E492" i="1"/>
  <c r="F492" i="1"/>
  <c r="G492" i="1"/>
  <c r="H492" i="1"/>
  <c r="I492" i="1"/>
  <c r="J492" i="1"/>
  <c r="K492" i="1"/>
  <c r="L492" i="1"/>
  <c r="M492" i="1"/>
  <c r="A493" i="1"/>
  <c r="B493" i="1"/>
  <c r="C493" i="1"/>
  <c r="D493" i="1"/>
  <c r="E493" i="1"/>
  <c r="F493" i="1"/>
  <c r="G493" i="1"/>
  <c r="H493" i="1"/>
  <c r="I493" i="1"/>
  <c r="J493" i="1"/>
  <c r="K493" i="1"/>
  <c r="L493" i="1"/>
  <c r="M493" i="1"/>
  <c r="A494" i="1"/>
  <c r="B494" i="1"/>
  <c r="C494" i="1"/>
  <c r="D494" i="1"/>
  <c r="E494" i="1"/>
  <c r="F494" i="1"/>
  <c r="G494" i="1"/>
  <c r="H494" i="1"/>
  <c r="I494" i="1"/>
  <c r="J494" i="1"/>
  <c r="K494" i="1"/>
  <c r="L494" i="1"/>
  <c r="M494" i="1"/>
  <c r="A495" i="1"/>
  <c r="B495" i="1"/>
  <c r="C495" i="1"/>
  <c r="D495" i="1"/>
  <c r="E495" i="1"/>
  <c r="F495" i="1"/>
  <c r="G495" i="1"/>
  <c r="H495" i="1"/>
  <c r="I495" i="1"/>
  <c r="J495" i="1"/>
  <c r="K495" i="1"/>
  <c r="L495" i="1"/>
  <c r="M495" i="1"/>
  <c r="A496" i="1"/>
  <c r="B496" i="1"/>
  <c r="C496" i="1"/>
  <c r="D496" i="1"/>
  <c r="E496" i="1"/>
  <c r="F496" i="1"/>
  <c r="G496" i="1"/>
  <c r="H496" i="1"/>
  <c r="I496" i="1"/>
  <c r="J496" i="1"/>
  <c r="K496" i="1"/>
  <c r="L496" i="1"/>
  <c r="M496" i="1"/>
  <c r="A497" i="1"/>
  <c r="B497" i="1"/>
  <c r="C497" i="1"/>
  <c r="D497" i="1"/>
  <c r="E497" i="1"/>
  <c r="F497" i="1"/>
  <c r="G497" i="1"/>
  <c r="H497" i="1"/>
  <c r="I497" i="1"/>
  <c r="J497" i="1"/>
  <c r="K497" i="1"/>
  <c r="L497" i="1"/>
  <c r="M497" i="1"/>
  <c r="A498" i="1"/>
  <c r="B498" i="1"/>
  <c r="C498" i="1"/>
  <c r="D498" i="1"/>
  <c r="E498" i="1"/>
  <c r="F498" i="1"/>
  <c r="G498" i="1"/>
  <c r="H498" i="1"/>
  <c r="I498" i="1"/>
  <c r="J498" i="1"/>
  <c r="K498" i="1"/>
  <c r="L498" i="1"/>
  <c r="M498" i="1"/>
  <c r="A499" i="1"/>
  <c r="B499" i="1"/>
  <c r="C499" i="1"/>
  <c r="D499" i="1"/>
  <c r="E499" i="1"/>
  <c r="F499" i="1"/>
  <c r="G499" i="1"/>
  <c r="H499" i="1"/>
  <c r="I499" i="1"/>
  <c r="J499" i="1"/>
  <c r="K499" i="1"/>
  <c r="L499" i="1"/>
  <c r="M499" i="1"/>
  <c r="A500" i="1"/>
  <c r="B500" i="1"/>
  <c r="C500" i="1"/>
  <c r="D500" i="1"/>
  <c r="E500" i="1"/>
  <c r="F500" i="1"/>
  <c r="G500" i="1"/>
  <c r="H500" i="1"/>
  <c r="I500" i="1"/>
  <c r="J500" i="1"/>
  <c r="K500" i="1"/>
  <c r="L500" i="1"/>
  <c r="M500" i="1"/>
  <c r="A501" i="1"/>
  <c r="B501" i="1"/>
  <c r="C501" i="1"/>
  <c r="D501" i="1"/>
  <c r="E501" i="1"/>
  <c r="F501" i="1"/>
  <c r="G501" i="1"/>
  <c r="H501" i="1"/>
  <c r="I501" i="1"/>
  <c r="J501" i="1"/>
  <c r="K501" i="1"/>
  <c r="L501" i="1"/>
  <c r="M501" i="1"/>
  <c r="A502" i="1"/>
  <c r="B502" i="1"/>
  <c r="C502" i="1"/>
  <c r="D502" i="1"/>
  <c r="E502" i="1"/>
  <c r="F502" i="1"/>
  <c r="G502" i="1"/>
  <c r="H502" i="1"/>
  <c r="I502" i="1"/>
  <c r="J502" i="1"/>
  <c r="K502" i="1"/>
  <c r="L502" i="1"/>
  <c r="M502" i="1"/>
  <c r="A503" i="1"/>
  <c r="B503" i="1"/>
  <c r="C503" i="1"/>
  <c r="D503" i="1"/>
  <c r="E503" i="1"/>
  <c r="F503" i="1"/>
  <c r="G503" i="1"/>
  <c r="H503" i="1"/>
  <c r="I503" i="1"/>
  <c r="J503" i="1"/>
  <c r="K503" i="1"/>
  <c r="L503" i="1"/>
  <c r="M503" i="1"/>
  <c r="A504" i="1"/>
  <c r="B504" i="1"/>
  <c r="C504" i="1"/>
  <c r="D504" i="1"/>
  <c r="E504" i="1"/>
  <c r="F504" i="1"/>
  <c r="G504" i="1"/>
  <c r="H504" i="1"/>
  <c r="I504" i="1"/>
  <c r="J504" i="1"/>
  <c r="K504" i="1"/>
  <c r="L504" i="1"/>
  <c r="M504" i="1"/>
  <c r="A505" i="1"/>
  <c r="B505" i="1"/>
  <c r="C505" i="1"/>
  <c r="D505" i="1"/>
  <c r="E505" i="1"/>
  <c r="F505" i="1"/>
  <c r="G505" i="1"/>
  <c r="H505" i="1"/>
  <c r="I505" i="1"/>
  <c r="J505" i="1"/>
  <c r="K505" i="1"/>
  <c r="L505" i="1"/>
  <c r="M505" i="1"/>
  <c r="A506" i="1"/>
  <c r="B506" i="1"/>
  <c r="C506" i="1"/>
  <c r="D506" i="1"/>
  <c r="E506" i="1"/>
  <c r="F506" i="1"/>
  <c r="G506" i="1"/>
  <c r="H506" i="1"/>
  <c r="I506" i="1"/>
  <c r="J506" i="1"/>
  <c r="K506" i="1"/>
  <c r="L506" i="1"/>
  <c r="M506" i="1"/>
  <c r="A507" i="1"/>
  <c r="B507" i="1"/>
  <c r="C507" i="1"/>
  <c r="D507" i="1"/>
  <c r="E507" i="1"/>
  <c r="F507" i="1"/>
  <c r="G507" i="1"/>
  <c r="H507" i="1"/>
  <c r="I507" i="1"/>
  <c r="J507" i="1"/>
  <c r="K507" i="1"/>
  <c r="L507" i="1"/>
  <c r="M507" i="1"/>
  <c r="A508" i="1"/>
  <c r="B508" i="1"/>
  <c r="C508" i="1"/>
  <c r="D508" i="1"/>
  <c r="E508" i="1"/>
  <c r="F508" i="1"/>
  <c r="G508" i="1"/>
  <c r="H508" i="1"/>
  <c r="I508" i="1"/>
  <c r="J508" i="1"/>
  <c r="K508" i="1"/>
  <c r="L508" i="1"/>
  <c r="M508" i="1"/>
  <c r="A509" i="1"/>
  <c r="B509" i="1"/>
  <c r="C509" i="1"/>
  <c r="D509" i="1"/>
  <c r="E509" i="1"/>
  <c r="F509" i="1"/>
  <c r="G509" i="1"/>
  <c r="H509" i="1"/>
  <c r="I509" i="1"/>
  <c r="J509" i="1"/>
  <c r="K509" i="1"/>
  <c r="L509" i="1"/>
  <c r="M509" i="1"/>
  <c r="A510" i="1"/>
  <c r="B510" i="1"/>
  <c r="C510" i="1"/>
  <c r="D510" i="1"/>
  <c r="E510" i="1"/>
  <c r="F510" i="1"/>
  <c r="G510" i="1"/>
  <c r="H510" i="1"/>
  <c r="I510" i="1"/>
  <c r="J510" i="1"/>
  <c r="K510" i="1"/>
  <c r="L510" i="1"/>
  <c r="M510" i="1"/>
  <c r="A511" i="1"/>
  <c r="B511" i="1"/>
  <c r="C511" i="1"/>
  <c r="D511" i="1"/>
  <c r="E511" i="1"/>
  <c r="F511" i="1"/>
  <c r="G511" i="1"/>
  <c r="H511" i="1"/>
  <c r="I511" i="1"/>
  <c r="J511" i="1"/>
  <c r="K511" i="1"/>
  <c r="L511" i="1"/>
  <c r="M511" i="1"/>
  <c r="A512" i="1"/>
  <c r="B512" i="1"/>
  <c r="C512" i="1"/>
  <c r="D512" i="1"/>
  <c r="E512" i="1"/>
  <c r="F512" i="1"/>
  <c r="G512" i="1"/>
  <c r="H512" i="1"/>
  <c r="I512" i="1"/>
  <c r="J512" i="1"/>
  <c r="K512" i="1"/>
  <c r="L512" i="1"/>
  <c r="M512" i="1"/>
  <c r="A513" i="1"/>
  <c r="B513" i="1"/>
  <c r="C513" i="1"/>
  <c r="D513" i="1"/>
  <c r="E513" i="1"/>
  <c r="F513" i="1"/>
  <c r="G513" i="1"/>
  <c r="H513" i="1"/>
  <c r="I513" i="1"/>
  <c r="J513" i="1"/>
  <c r="K513" i="1"/>
  <c r="L513" i="1"/>
  <c r="M513" i="1"/>
  <c r="A514" i="1"/>
  <c r="B514" i="1"/>
  <c r="C514" i="1"/>
  <c r="D514" i="1"/>
  <c r="E514" i="1"/>
  <c r="F514" i="1"/>
  <c r="G514" i="1"/>
  <c r="H514" i="1"/>
  <c r="I514" i="1"/>
  <c r="J514" i="1"/>
  <c r="K514" i="1"/>
  <c r="L514" i="1"/>
  <c r="M514" i="1"/>
  <c r="A515" i="1"/>
  <c r="B515" i="1"/>
  <c r="C515" i="1"/>
  <c r="D515" i="1"/>
  <c r="E515" i="1"/>
  <c r="F515" i="1"/>
  <c r="G515" i="1"/>
  <c r="H515" i="1"/>
  <c r="I515" i="1"/>
  <c r="J515" i="1"/>
  <c r="K515" i="1"/>
  <c r="L515" i="1"/>
  <c r="M515" i="1"/>
  <c r="A516" i="1"/>
  <c r="B516" i="1"/>
  <c r="C516" i="1"/>
  <c r="D516" i="1"/>
  <c r="E516" i="1"/>
  <c r="F516" i="1"/>
  <c r="G516" i="1"/>
  <c r="H516" i="1"/>
  <c r="I516" i="1"/>
  <c r="J516" i="1"/>
  <c r="K516" i="1"/>
  <c r="L516" i="1"/>
  <c r="M516" i="1"/>
  <c r="A517" i="1"/>
  <c r="B517" i="1"/>
  <c r="C517" i="1"/>
  <c r="D517" i="1"/>
  <c r="E517" i="1"/>
  <c r="F517" i="1"/>
  <c r="G517" i="1"/>
  <c r="H517" i="1"/>
  <c r="I517" i="1"/>
  <c r="J517" i="1"/>
  <c r="K517" i="1"/>
  <c r="L517" i="1"/>
  <c r="M517" i="1"/>
  <c r="A518" i="1"/>
  <c r="B518" i="1"/>
  <c r="C518" i="1"/>
  <c r="D518" i="1"/>
  <c r="E518" i="1"/>
  <c r="F518" i="1"/>
  <c r="G518" i="1"/>
  <c r="H518" i="1"/>
  <c r="I518" i="1"/>
  <c r="J518" i="1"/>
  <c r="K518" i="1"/>
  <c r="L518" i="1"/>
  <c r="M518" i="1"/>
  <c r="A519" i="1"/>
  <c r="B519" i="1"/>
  <c r="C519" i="1"/>
  <c r="D519" i="1"/>
  <c r="E519" i="1"/>
  <c r="F519" i="1"/>
  <c r="G519" i="1"/>
  <c r="H519" i="1"/>
  <c r="I519" i="1"/>
  <c r="J519" i="1"/>
  <c r="K519" i="1"/>
  <c r="L519" i="1"/>
  <c r="M519" i="1"/>
  <c r="A520" i="1"/>
  <c r="B520" i="1"/>
  <c r="C520" i="1"/>
  <c r="D520" i="1"/>
  <c r="E520" i="1"/>
  <c r="F520" i="1"/>
  <c r="G520" i="1"/>
  <c r="H520" i="1"/>
  <c r="I520" i="1"/>
  <c r="J520" i="1"/>
  <c r="K520" i="1"/>
  <c r="L520" i="1"/>
  <c r="M520" i="1"/>
  <c r="A521" i="1"/>
  <c r="B521" i="1"/>
  <c r="C521" i="1"/>
  <c r="D521" i="1"/>
  <c r="E521" i="1"/>
  <c r="F521" i="1"/>
  <c r="G521" i="1"/>
  <c r="H521" i="1"/>
  <c r="I521" i="1"/>
  <c r="J521" i="1"/>
  <c r="K521" i="1"/>
  <c r="L521" i="1"/>
  <c r="M521" i="1"/>
  <c r="A522" i="1"/>
  <c r="B522" i="1"/>
  <c r="C522" i="1"/>
  <c r="D522" i="1"/>
  <c r="E522" i="1"/>
  <c r="F522" i="1"/>
  <c r="G522" i="1"/>
  <c r="H522" i="1"/>
  <c r="I522" i="1"/>
  <c r="J522" i="1"/>
  <c r="K522" i="1"/>
  <c r="L522" i="1"/>
  <c r="M522" i="1"/>
  <c r="A523" i="1"/>
  <c r="B523" i="1"/>
  <c r="C523" i="1"/>
  <c r="D523" i="1"/>
  <c r="E523" i="1"/>
  <c r="F523" i="1"/>
  <c r="G523" i="1"/>
  <c r="H523" i="1"/>
  <c r="I523" i="1"/>
  <c r="J523" i="1"/>
  <c r="K523" i="1"/>
  <c r="L523" i="1"/>
  <c r="M523" i="1"/>
  <c r="A524" i="1"/>
  <c r="B524" i="1"/>
  <c r="C524" i="1"/>
  <c r="D524" i="1"/>
  <c r="E524" i="1"/>
  <c r="F524" i="1"/>
  <c r="G524" i="1"/>
  <c r="H524" i="1"/>
  <c r="I524" i="1"/>
  <c r="J524" i="1"/>
  <c r="K524" i="1"/>
  <c r="L524" i="1"/>
  <c r="M524" i="1"/>
  <c r="A525" i="1"/>
  <c r="B525" i="1"/>
  <c r="C525" i="1"/>
  <c r="D525" i="1"/>
  <c r="E525" i="1"/>
  <c r="F525" i="1"/>
  <c r="G525" i="1"/>
  <c r="H525" i="1"/>
  <c r="I525" i="1"/>
  <c r="J525" i="1"/>
  <c r="K525" i="1"/>
  <c r="L525" i="1"/>
  <c r="M525" i="1"/>
  <c r="A526" i="1"/>
  <c r="B526" i="1"/>
  <c r="C526" i="1"/>
  <c r="D526" i="1"/>
  <c r="E526" i="1"/>
  <c r="F526" i="1"/>
  <c r="G526" i="1"/>
  <c r="H526" i="1"/>
  <c r="I526" i="1"/>
  <c r="J526" i="1"/>
  <c r="K526" i="1"/>
  <c r="L526" i="1"/>
  <c r="M526" i="1"/>
  <c r="A527" i="1"/>
  <c r="B527" i="1"/>
  <c r="C527" i="1"/>
  <c r="D527" i="1"/>
  <c r="E527" i="1"/>
  <c r="F527" i="1"/>
  <c r="G527" i="1"/>
  <c r="H527" i="1"/>
  <c r="I527" i="1"/>
  <c r="J527" i="1"/>
  <c r="K527" i="1"/>
  <c r="L527" i="1"/>
  <c r="M527" i="1"/>
  <c r="A528" i="1"/>
  <c r="B528" i="1"/>
  <c r="C528" i="1"/>
  <c r="D528" i="1"/>
  <c r="E528" i="1"/>
  <c r="F528" i="1"/>
  <c r="G528" i="1"/>
  <c r="H528" i="1"/>
  <c r="I528" i="1"/>
  <c r="J528" i="1"/>
  <c r="K528" i="1"/>
  <c r="L528" i="1"/>
  <c r="M528" i="1"/>
  <c r="A529" i="1"/>
  <c r="B529" i="1"/>
  <c r="C529" i="1"/>
  <c r="D529" i="1"/>
  <c r="E529" i="1"/>
  <c r="F529" i="1"/>
  <c r="G529" i="1"/>
  <c r="H529" i="1"/>
  <c r="I529" i="1"/>
  <c r="J529" i="1"/>
  <c r="K529" i="1"/>
  <c r="L529" i="1"/>
  <c r="M529" i="1"/>
  <c r="A530" i="1"/>
  <c r="B530" i="1"/>
  <c r="C530" i="1"/>
  <c r="D530" i="1"/>
  <c r="E530" i="1"/>
  <c r="F530" i="1"/>
  <c r="G530" i="1"/>
  <c r="H530" i="1"/>
  <c r="I530" i="1"/>
  <c r="J530" i="1"/>
  <c r="K530" i="1"/>
  <c r="L530" i="1"/>
  <c r="M530" i="1"/>
  <c r="A531" i="1"/>
  <c r="B531" i="1"/>
  <c r="C531" i="1"/>
  <c r="D531" i="1"/>
  <c r="E531" i="1"/>
  <c r="F531" i="1"/>
  <c r="G531" i="1"/>
  <c r="H531" i="1"/>
  <c r="I531" i="1"/>
  <c r="J531" i="1"/>
  <c r="K531" i="1"/>
  <c r="L531" i="1"/>
  <c r="M531" i="1"/>
  <c r="A532" i="1"/>
  <c r="B532" i="1"/>
  <c r="C532" i="1"/>
  <c r="D532" i="1"/>
  <c r="E532" i="1"/>
  <c r="F532" i="1"/>
  <c r="G532" i="1"/>
  <c r="H532" i="1"/>
  <c r="I532" i="1"/>
  <c r="J532" i="1"/>
  <c r="K532" i="1"/>
  <c r="L532" i="1"/>
  <c r="M532" i="1"/>
  <c r="A533" i="1"/>
  <c r="B533" i="1"/>
  <c r="C533" i="1"/>
  <c r="D533" i="1"/>
  <c r="E533" i="1"/>
  <c r="F533" i="1"/>
  <c r="G533" i="1"/>
  <c r="H533" i="1"/>
  <c r="I533" i="1"/>
  <c r="J533" i="1"/>
  <c r="K533" i="1"/>
  <c r="L533" i="1"/>
  <c r="M533" i="1"/>
  <c r="A534" i="1"/>
  <c r="B534" i="1"/>
  <c r="C534" i="1"/>
  <c r="D534" i="1"/>
  <c r="E534" i="1"/>
  <c r="F534" i="1"/>
  <c r="G534" i="1"/>
  <c r="H534" i="1"/>
  <c r="I534" i="1"/>
  <c r="J534" i="1"/>
  <c r="K534" i="1"/>
  <c r="L534" i="1"/>
  <c r="M534" i="1"/>
  <c r="A535" i="1"/>
  <c r="B535" i="1"/>
  <c r="C535" i="1"/>
  <c r="D535" i="1"/>
  <c r="E535" i="1"/>
  <c r="F535" i="1"/>
  <c r="G535" i="1"/>
  <c r="H535" i="1"/>
  <c r="I535" i="1"/>
  <c r="J535" i="1"/>
  <c r="K535" i="1"/>
  <c r="L535" i="1"/>
  <c r="M535" i="1"/>
  <c r="A536" i="1"/>
  <c r="B536" i="1"/>
  <c r="C536" i="1"/>
  <c r="D536" i="1"/>
  <c r="E536" i="1"/>
  <c r="F536" i="1"/>
  <c r="G536" i="1"/>
  <c r="H536" i="1"/>
  <c r="I536" i="1"/>
  <c r="J536" i="1"/>
  <c r="K536" i="1"/>
  <c r="L536" i="1"/>
  <c r="M536" i="1"/>
  <c r="A537" i="1"/>
  <c r="B537" i="1"/>
  <c r="C537" i="1"/>
  <c r="D537" i="1"/>
  <c r="E537" i="1"/>
  <c r="F537" i="1"/>
  <c r="G537" i="1"/>
  <c r="H537" i="1"/>
  <c r="I537" i="1"/>
  <c r="J537" i="1"/>
  <c r="K537" i="1"/>
  <c r="L537" i="1"/>
  <c r="M537" i="1"/>
  <c r="A538" i="1"/>
  <c r="B538" i="1"/>
  <c r="C538" i="1"/>
  <c r="D538" i="1"/>
  <c r="E538" i="1"/>
  <c r="F538" i="1"/>
  <c r="G538" i="1"/>
  <c r="H538" i="1"/>
  <c r="I538" i="1"/>
  <c r="J538" i="1"/>
  <c r="K538" i="1"/>
  <c r="L538" i="1"/>
  <c r="M538" i="1"/>
  <c r="A539" i="1"/>
  <c r="B539" i="1"/>
  <c r="C539" i="1"/>
  <c r="D539" i="1"/>
  <c r="E539" i="1"/>
  <c r="F539" i="1"/>
  <c r="G539" i="1"/>
  <c r="H539" i="1"/>
  <c r="I539" i="1"/>
  <c r="J539" i="1"/>
  <c r="K539" i="1"/>
  <c r="L539" i="1"/>
  <c r="M539" i="1"/>
  <c r="A540" i="1"/>
  <c r="B540" i="1"/>
  <c r="C540" i="1"/>
  <c r="D540" i="1"/>
  <c r="E540" i="1"/>
  <c r="F540" i="1"/>
  <c r="G540" i="1"/>
  <c r="H540" i="1"/>
  <c r="I540" i="1"/>
  <c r="J540" i="1"/>
  <c r="K540" i="1"/>
  <c r="L540" i="1"/>
  <c r="M540" i="1"/>
  <c r="A541" i="1"/>
  <c r="B541" i="1"/>
  <c r="C541" i="1"/>
  <c r="D541" i="1"/>
  <c r="E541" i="1"/>
  <c r="F541" i="1"/>
  <c r="G541" i="1"/>
  <c r="H541" i="1"/>
  <c r="I541" i="1"/>
  <c r="J541" i="1"/>
  <c r="K541" i="1"/>
  <c r="L541" i="1"/>
  <c r="M541" i="1"/>
  <c r="A542" i="1"/>
  <c r="B542" i="1"/>
  <c r="C542" i="1"/>
  <c r="D542" i="1"/>
  <c r="E542" i="1"/>
  <c r="F542" i="1"/>
  <c r="G542" i="1"/>
  <c r="H542" i="1"/>
  <c r="I542" i="1"/>
  <c r="J542" i="1"/>
  <c r="K542" i="1"/>
  <c r="L542" i="1"/>
  <c r="M542" i="1"/>
  <c r="A543" i="1"/>
  <c r="B543" i="1"/>
  <c r="C543" i="1"/>
  <c r="D543" i="1"/>
  <c r="E543" i="1"/>
  <c r="F543" i="1"/>
  <c r="G543" i="1"/>
  <c r="H543" i="1"/>
  <c r="I543" i="1"/>
  <c r="J543" i="1"/>
  <c r="K543" i="1"/>
  <c r="L543" i="1"/>
  <c r="M543" i="1"/>
  <c r="A544" i="1"/>
  <c r="B544" i="1"/>
  <c r="C544" i="1"/>
  <c r="D544" i="1"/>
  <c r="E544" i="1"/>
  <c r="F544" i="1"/>
  <c r="G544" i="1"/>
  <c r="H544" i="1"/>
  <c r="I544" i="1"/>
  <c r="J544" i="1"/>
  <c r="K544" i="1"/>
  <c r="L544" i="1"/>
  <c r="M544" i="1"/>
  <c r="A545" i="1"/>
  <c r="B545" i="1"/>
  <c r="C545" i="1"/>
  <c r="D545" i="1"/>
  <c r="E545" i="1"/>
  <c r="F545" i="1"/>
  <c r="G545" i="1"/>
  <c r="H545" i="1"/>
  <c r="I545" i="1"/>
  <c r="J545" i="1"/>
  <c r="K545" i="1"/>
  <c r="L545" i="1"/>
  <c r="M545" i="1"/>
  <c r="A546" i="1"/>
  <c r="B546" i="1"/>
  <c r="C546" i="1"/>
  <c r="D546" i="1"/>
  <c r="E546" i="1"/>
  <c r="F546" i="1"/>
  <c r="G546" i="1"/>
  <c r="H546" i="1"/>
  <c r="I546" i="1"/>
  <c r="J546" i="1"/>
  <c r="K546" i="1"/>
  <c r="L546" i="1"/>
  <c r="M546" i="1"/>
  <c r="A547" i="1"/>
  <c r="B547" i="1"/>
  <c r="C547" i="1"/>
  <c r="D547" i="1"/>
  <c r="E547" i="1"/>
  <c r="F547" i="1"/>
  <c r="G547" i="1"/>
  <c r="H547" i="1"/>
  <c r="I547" i="1"/>
  <c r="J547" i="1"/>
  <c r="K547" i="1"/>
  <c r="L547" i="1"/>
  <c r="M547" i="1"/>
  <c r="A548" i="1"/>
  <c r="B548" i="1"/>
  <c r="C548" i="1"/>
  <c r="D548" i="1"/>
  <c r="E548" i="1"/>
  <c r="F548" i="1"/>
  <c r="G548" i="1"/>
  <c r="H548" i="1"/>
  <c r="I548" i="1"/>
  <c r="J548" i="1"/>
  <c r="K548" i="1"/>
  <c r="L548" i="1"/>
  <c r="M548" i="1"/>
  <c r="A549" i="1"/>
  <c r="B549" i="1"/>
  <c r="C549" i="1"/>
  <c r="D549" i="1"/>
  <c r="E549" i="1"/>
  <c r="F549" i="1"/>
  <c r="G549" i="1"/>
  <c r="H549" i="1"/>
  <c r="I549" i="1"/>
  <c r="J549" i="1"/>
  <c r="K549" i="1"/>
  <c r="L549" i="1"/>
  <c r="M549" i="1"/>
  <c r="A550" i="1"/>
  <c r="B550" i="1"/>
  <c r="C550" i="1"/>
  <c r="D550" i="1"/>
  <c r="E550" i="1"/>
  <c r="F550" i="1"/>
  <c r="G550" i="1"/>
  <c r="H550" i="1"/>
  <c r="I550" i="1"/>
  <c r="J550" i="1"/>
  <c r="K550" i="1"/>
  <c r="L550" i="1"/>
  <c r="M550" i="1"/>
  <c r="A551" i="1"/>
  <c r="B551" i="1"/>
  <c r="C551" i="1"/>
  <c r="D551" i="1"/>
  <c r="E551" i="1"/>
  <c r="F551" i="1"/>
  <c r="G551" i="1"/>
  <c r="H551" i="1"/>
  <c r="I551" i="1"/>
  <c r="J551" i="1"/>
  <c r="K551" i="1"/>
  <c r="L551" i="1"/>
  <c r="M551" i="1"/>
  <c r="A552" i="1"/>
  <c r="B552" i="1"/>
  <c r="C552" i="1"/>
  <c r="D552" i="1"/>
  <c r="E552" i="1"/>
  <c r="F552" i="1"/>
  <c r="G552" i="1"/>
  <c r="H552" i="1"/>
  <c r="I552" i="1"/>
  <c r="J552" i="1"/>
  <c r="K552" i="1"/>
  <c r="L552" i="1"/>
  <c r="M552" i="1"/>
  <c r="A553" i="1"/>
  <c r="B553" i="1"/>
  <c r="C553" i="1"/>
  <c r="D553" i="1"/>
  <c r="E553" i="1"/>
  <c r="F553" i="1"/>
  <c r="G553" i="1"/>
  <c r="H553" i="1"/>
  <c r="I553" i="1"/>
  <c r="J553" i="1"/>
  <c r="K553" i="1"/>
  <c r="L553" i="1"/>
  <c r="M553" i="1"/>
  <c r="A554" i="1"/>
  <c r="B554" i="1"/>
  <c r="C554" i="1"/>
  <c r="D554" i="1"/>
  <c r="E554" i="1"/>
  <c r="F554" i="1"/>
  <c r="G554" i="1"/>
  <c r="H554" i="1"/>
  <c r="I554" i="1"/>
  <c r="J554" i="1"/>
  <c r="K554" i="1"/>
  <c r="L554" i="1"/>
  <c r="M554" i="1"/>
  <c r="A555" i="1"/>
  <c r="B555" i="1"/>
  <c r="C555" i="1"/>
  <c r="D555" i="1"/>
  <c r="E555" i="1"/>
  <c r="F555" i="1"/>
  <c r="G555" i="1"/>
  <c r="H555" i="1"/>
  <c r="I555" i="1"/>
  <c r="J555" i="1"/>
  <c r="K555" i="1"/>
  <c r="L555" i="1"/>
  <c r="M555" i="1"/>
  <c r="A556" i="1"/>
  <c r="B556" i="1"/>
  <c r="C556" i="1"/>
  <c r="D556" i="1"/>
  <c r="E556" i="1"/>
  <c r="F556" i="1"/>
  <c r="G556" i="1"/>
  <c r="H556" i="1"/>
  <c r="I556" i="1"/>
  <c r="J556" i="1"/>
  <c r="K556" i="1"/>
  <c r="L556" i="1"/>
  <c r="M556" i="1"/>
  <c r="A557" i="1"/>
  <c r="B557" i="1"/>
  <c r="C557" i="1"/>
  <c r="D557" i="1"/>
  <c r="E557" i="1"/>
  <c r="F557" i="1"/>
  <c r="G557" i="1"/>
  <c r="H557" i="1"/>
  <c r="I557" i="1"/>
  <c r="J557" i="1"/>
  <c r="K557" i="1"/>
  <c r="L557" i="1"/>
  <c r="M557" i="1"/>
  <c r="A558" i="1"/>
  <c r="B558" i="1"/>
  <c r="C558" i="1"/>
  <c r="D558" i="1"/>
  <c r="E558" i="1"/>
  <c r="F558" i="1"/>
  <c r="G558" i="1"/>
  <c r="H558" i="1"/>
  <c r="I558" i="1"/>
  <c r="J558" i="1"/>
  <c r="K558" i="1"/>
  <c r="L558" i="1"/>
  <c r="M558" i="1"/>
  <c r="A559" i="1"/>
  <c r="B559" i="1"/>
  <c r="C559" i="1"/>
  <c r="D559" i="1"/>
  <c r="E559" i="1"/>
  <c r="F559" i="1"/>
  <c r="G559" i="1"/>
  <c r="H559" i="1"/>
  <c r="I559" i="1"/>
  <c r="J559" i="1"/>
  <c r="K559" i="1"/>
  <c r="L559" i="1"/>
  <c r="M559" i="1"/>
  <c r="A560" i="1"/>
  <c r="B560" i="1"/>
  <c r="C560" i="1"/>
  <c r="D560" i="1"/>
  <c r="E560" i="1"/>
  <c r="F560" i="1"/>
  <c r="G560" i="1"/>
  <c r="H560" i="1"/>
  <c r="I560" i="1"/>
  <c r="J560" i="1"/>
  <c r="K560" i="1"/>
  <c r="L560" i="1"/>
  <c r="M560" i="1"/>
  <c r="A561" i="1"/>
  <c r="B561" i="1"/>
  <c r="C561" i="1"/>
  <c r="D561" i="1"/>
  <c r="E561" i="1"/>
  <c r="F561" i="1"/>
  <c r="G561" i="1"/>
  <c r="H561" i="1"/>
  <c r="I561" i="1"/>
  <c r="J561" i="1"/>
  <c r="K561" i="1"/>
  <c r="L561" i="1"/>
  <c r="M561" i="1"/>
  <c r="A562" i="1"/>
  <c r="B562" i="1"/>
  <c r="C562" i="1"/>
  <c r="D562" i="1"/>
  <c r="E562" i="1"/>
  <c r="F562" i="1"/>
  <c r="G562" i="1"/>
  <c r="H562" i="1"/>
  <c r="I562" i="1"/>
  <c r="J562" i="1"/>
  <c r="K562" i="1"/>
  <c r="L562" i="1"/>
  <c r="M562" i="1"/>
  <c r="A563" i="1"/>
  <c r="B563" i="1"/>
  <c r="C563" i="1"/>
  <c r="D563" i="1"/>
  <c r="E563" i="1"/>
  <c r="F563" i="1"/>
  <c r="G563" i="1"/>
  <c r="H563" i="1"/>
  <c r="I563" i="1"/>
  <c r="J563" i="1"/>
  <c r="K563" i="1"/>
  <c r="L563" i="1"/>
  <c r="M563" i="1"/>
  <c r="A564" i="1"/>
  <c r="B564" i="1"/>
  <c r="C564" i="1"/>
  <c r="D564" i="1"/>
  <c r="E564" i="1"/>
  <c r="F564" i="1"/>
  <c r="G564" i="1"/>
  <c r="H564" i="1"/>
  <c r="I564" i="1"/>
  <c r="J564" i="1"/>
  <c r="K564" i="1"/>
  <c r="L564" i="1"/>
  <c r="M564" i="1"/>
  <c r="A565" i="1"/>
  <c r="B565" i="1"/>
  <c r="C565" i="1"/>
  <c r="D565" i="1"/>
  <c r="E565" i="1"/>
  <c r="F565" i="1"/>
  <c r="G565" i="1"/>
  <c r="H565" i="1"/>
  <c r="I565" i="1"/>
  <c r="J565" i="1"/>
  <c r="K565" i="1"/>
  <c r="L565" i="1"/>
  <c r="M565" i="1"/>
  <c r="A566" i="1"/>
  <c r="B566" i="1"/>
  <c r="C566" i="1"/>
  <c r="D566" i="1"/>
  <c r="E566" i="1"/>
  <c r="F566" i="1"/>
  <c r="G566" i="1"/>
  <c r="H566" i="1"/>
  <c r="I566" i="1"/>
  <c r="J566" i="1"/>
  <c r="K566" i="1"/>
  <c r="L566" i="1"/>
  <c r="M566" i="1"/>
  <c r="A567" i="1"/>
  <c r="B567" i="1"/>
  <c r="C567" i="1"/>
  <c r="D567" i="1"/>
  <c r="E567" i="1"/>
  <c r="F567" i="1"/>
  <c r="G567" i="1"/>
  <c r="H567" i="1"/>
  <c r="I567" i="1"/>
  <c r="J567" i="1"/>
  <c r="K567" i="1"/>
  <c r="L567" i="1"/>
  <c r="M567" i="1"/>
  <c r="A568" i="1"/>
  <c r="B568" i="1"/>
  <c r="C568" i="1"/>
  <c r="D568" i="1"/>
  <c r="E568" i="1"/>
  <c r="F568" i="1"/>
  <c r="G568" i="1"/>
  <c r="H568" i="1"/>
  <c r="I568" i="1"/>
  <c r="J568" i="1"/>
  <c r="K568" i="1"/>
  <c r="L568" i="1"/>
  <c r="M568" i="1"/>
  <c r="A569" i="1"/>
  <c r="B569" i="1"/>
  <c r="C569" i="1"/>
  <c r="D569" i="1"/>
  <c r="E569" i="1"/>
  <c r="F569" i="1"/>
  <c r="G569" i="1"/>
  <c r="H569" i="1"/>
  <c r="I569" i="1"/>
  <c r="J569" i="1"/>
  <c r="K569" i="1"/>
  <c r="L569" i="1"/>
  <c r="M569" i="1"/>
  <c r="A570" i="1"/>
  <c r="B570" i="1"/>
  <c r="C570" i="1"/>
  <c r="D570" i="1"/>
  <c r="E570" i="1"/>
  <c r="F570" i="1"/>
  <c r="G570" i="1"/>
  <c r="H570" i="1"/>
  <c r="I570" i="1"/>
  <c r="J570" i="1"/>
  <c r="K570" i="1"/>
  <c r="L570" i="1"/>
  <c r="M570" i="1"/>
  <c r="A571" i="1"/>
  <c r="B571" i="1"/>
  <c r="C571" i="1"/>
  <c r="D571" i="1"/>
  <c r="E571" i="1"/>
  <c r="F571" i="1"/>
  <c r="G571" i="1"/>
  <c r="H571" i="1"/>
  <c r="I571" i="1"/>
  <c r="J571" i="1"/>
  <c r="K571" i="1"/>
  <c r="L571" i="1"/>
  <c r="M571" i="1"/>
  <c r="A572" i="1"/>
  <c r="B572" i="1"/>
  <c r="C572" i="1"/>
  <c r="D572" i="1"/>
  <c r="E572" i="1"/>
  <c r="F572" i="1"/>
  <c r="G572" i="1"/>
  <c r="H572" i="1"/>
  <c r="I572" i="1"/>
  <c r="J572" i="1"/>
  <c r="K572" i="1"/>
  <c r="L572" i="1"/>
  <c r="M572" i="1"/>
  <c r="A573" i="1"/>
  <c r="B573" i="1"/>
  <c r="C573" i="1"/>
  <c r="D573" i="1"/>
  <c r="E573" i="1"/>
  <c r="F573" i="1"/>
  <c r="G573" i="1"/>
  <c r="H573" i="1"/>
  <c r="I573" i="1"/>
  <c r="J573" i="1"/>
  <c r="K573" i="1"/>
  <c r="L573" i="1"/>
  <c r="M573" i="1"/>
  <c r="A574" i="1"/>
  <c r="B574" i="1"/>
  <c r="C574" i="1"/>
  <c r="D574" i="1"/>
  <c r="E574" i="1"/>
  <c r="F574" i="1"/>
  <c r="G574" i="1"/>
  <c r="H574" i="1"/>
  <c r="I574" i="1"/>
  <c r="J574" i="1"/>
  <c r="K574" i="1"/>
  <c r="L574" i="1"/>
  <c r="M574" i="1"/>
  <c r="A575" i="1"/>
  <c r="B575" i="1"/>
  <c r="C575" i="1"/>
  <c r="D575" i="1"/>
  <c r="E575" i="1"/>
  <c r="F575" i="1"/>
  <c r="G575" i="1"/>
  <c r="H575" i="1"/>
  <c r="I575" i="1"/>
  <c r="J575" i="1"/>
  <c r="K575" i="1"/>
  <c r="L575" i="1"/>
  <c r="M575" i="1"/>
  <c r="A576" i="1"/>
  <c r="B576" i="1"/>
  <c r="C576" i="1"/>
  <c r="D576" i="1"/>
  <c r="E576" i="1"/>
  <c r="F576" i="1"/>
  <c r="G576" i="1"/>
  <c r="H576" i="1"/>
  <c r="I576" i="1"/>
  <c r="J576" i="1"/>
  <c r="K576" i="1"/>
  <c r="L576" i="1"/>
  <c r="M576" i="1"/>
  <c r="A577" i="1"/>
  <c r="B577" i="1"/>
  <c r="C577" i="1"/>
  <c r="D577" i="1"/>
  <c r="E577" i="1"/>
  <c r="F577" i="1"/>
  <c r="G577" i="1"/>
  <c r="H577" i="1"/>
  <c r="I577" i="1"/>
  <c r="J577" i="1"/>
  <c r="K577" i="1"/>
  <c r="L577" i="1"/>
  <c r="M577" i="1"/>
  <c r="A578" i="1"/>
  <c r="B578" i="1"/>
  <c r="C578" i="1"/>
  <c r="D578" i="1"/>
  <c r="E578" i="1"/>
  <c r="F578" i="1"/>
  <c r="G578" i="1"/>
  <c r="H578" i="1"/>
  <c r="I578" i="1"/>
  <c r="J578" i="1"/>
  <c r="K578" i="1"/>
  <c r="L578" i="1"/>
  <c r="M578" i="1"/>
  <c r="A579" i="1"/>
  <c r="B579" i="1"/>
  <c r="C579" i="1"/>
  <c r="D579" i="1"/>
  <c r="E579" i="1"/>
  <c r="F579" i="1"/>
  <c r="G579" i="1"/>
  <c r="H579" i="1"/>
  <c r="I579" i="1"/>
  <c r="J579" i="1"/>
  <c r="K579" i="1"/>
  <c r="L579" i="1"/>
  <c r="M579" i="1"/>
  <c r="A580" i="1"/>
  <c r="B580" i="1"/>
  <c r="C580" i="1"/>
  <c r="D580" i="1"/>
  <c r="E580" i="1"/>
  <c r="F580" i="1"/>
  <c r="G580" i="1"/>
  <c r="H580" i="1"/>
  <c r="I580" i="1"/>
  <c r="J580" i="1"/>
  <c r="K580" i="1"/>
  <c r="L580" i="1"/>
  <c r="M580" i="1"/>
  <c r="A581" i="1"/>
  <c r="B581" i="1"/>
  <c r="C581" i="1"/>
  <c r="D581" i="1"/>
  <c r="E581" i="1"/>
  <c r="F581" i="1"/>
  <c r="G581" i="1"/>
  <c r="H581" i="1"/>
  <c r="I581" i="1"/>
  <c r="J581" i="1"/>
  <c r="K581" i="1"/>
  <c r="L581" i="1"/>
  <c r="M581" i="1"/>
  <c r="A582" i="1"/>
  <c r="B582" i="1"/>
  <c r="C582" i="1"/>
  <c r="D582" i="1"/>
  <c r="E582" i="1"/>
  <c r="F582" i="1"/>
  <c r="G582" i="1"/>
  <c r="H582" i="1"/>
  <c r="I582" i="1"/>
  <c r="J582" i="1"/>
  <c r="K582" i="1"/>
  <c r="L582" i="1"/>
  <c r="M582" i="1"/>
  <c r="A583" i="1"/>
  <c r="B583" i="1"/>
  <c r="C583" i="1"/>
  <c r="D583" i="1"/>
  <c r="E583" i="1"/>
  <c r="F583" i="1"/>
  <c r="G583" i="1"/>
  <c r="H583" i="1"/>
  <c r="I583" i="1"/>
  <c r="J583" i="1"/>
  <c r="K583" i="1"/>
  <c r="L583" i="1"/>
  <c r="M583" i="1"/>
  <c r="A584" i="1"/>
  <c r="B584" i="1"/>
  <c r="C584" i="1"/>
  <c r="D584" i="1"/>
  <c r="E584" i="1"/>
  <c r="F584" i="1"/>
  <c r="G584" i="1"/>
  <c r="H584" i="1"/>
  <c r="I584" i="1"/>
  <c r="J584" i="1"/>
  <c r="K584" i="1"/>
  <c r="L584" i="1"/>
  <c r="M584" i="1"/>
  <c r="A585" i="1"/>
  <c r="B585" i="1"/>
  <c r="C585" i="1"/>
  <c r="D585" i="1"/>
  <c r="E585" i="1"/>
  <c r="F585" i="1"/>
  <c r="G585" i="1"/>
  <c r="H585" i="1"/>
  <c r="I585" i="1"/>
  <c r="J585" i="1"/>
  <c r="K585" i="1"/>
  <c r="L585" i="1"/>
  <c r="M585" i="1"/>
  <c r="A586" i="1"/>
  <c r="B586" i="1"/>
  <c r="C586" i="1"/>
  <c r="D586" i="1"/>
  <c r="E586" i="1"/>
  <c r="F586" i="1"/>
  <c r="G586" i="1"/>
  <c r="H586" i="1"/>
  <c r="I586" i="1"/>
  <c r="J586" i="1"/>
  <c r="K586" i="1"/>
  <c r="L586" i="1"/>
  <c r="M586" i="1"/>
  <c r="A587" i="1"/>
  <c r="B587" i="1"/>
  <c r="C587" i="1"/>
  <c r="D587" i="1"/>
  <c r="E587" i="1"/>
  <c r="F587" i="1"/>
  <c r="G587" i="1"/>
  <c r="H587" i="1"/>
  <c r="I587" i="1"/>
  <c r="J587" i="1"/>
  <c r="K587" i="1"/>
  <c r="L587" i="1"/>
  <c r="M587" i="1"/>
  <c r="A588" i="1"/>
  <c r="B588" i="1"/>
  <c r="C588" i="1"/>
  <c r="D588" i="1"/>
  <c r="E588" i="1"/>
  <c r="F588" i="1"/>
  <c r="G588" i="1"/>
  <c r="H588" i="1"/>
  <c r="I588" i="1"/>
  <c r="J588" i="1"/>
  <c r="K588" i="1"/>
  <c r="L588" i="1"/>
  <c r="M588" i="1"/>
  <c r="A589" i="1"/>
  <c r="B589" i="1"/>
  <c r="C589" i="1"/>
  <c r="D589" i="1"/>
  <c r="E589" i="1"/>
  <c r="F589" i="1"/>
  <c r="G589" i="1"/>
  <c r="H589" i="1"/>
  <c r="I589" i="1"/>
  <c r="J589" i="1"/>
  <c r="K589" i="1"/>
  <c r="L589" i="1"/>
  <c r="M589" i="1"/>
  <c r="A590" i="1"/>
  <c r="B590" i="1"/>
  <c r="C590" i="1"/>
  <c r="D590" i="1"/>
  <c r="E590" i="1"/>
  <c r="F590" i="1"/>
  <c r="G590" i="1"/>
  <c r="H590" i="1"/>
  <c r="I590" i="1"/>
  <c r="J590" i="1"/>
  <c r="K590" i="1"/>
  <c r="L590" i="1"/>
  <c r="M590" i="1"/>
  <c r="A591" i="1"/>
  <c r="B591" i="1"/>
  <c r="C591" i="1"/>
  <c r="D591" i="1"/>
  <c r="E591" i="1"/>
  <c r="F591" i="1"/>
  <c r="G591" i="1"/>
  <c r="H591" i="1"/>
  <c r="I591" i="1"/>
  <c r="J591" i="1"/>
  <c r="K591" i="1"/>
  <c r="L591" i="1"/>
  <c r="M591" i="1"/>
  <c r="A592" i="1"/>
  <c r="B592" i="1"/>
  <c r="C592" i="1"/>
  <c r="D592" i="1"/>
  <c r="E592" i="1"/>
  <c r="F592" i="1"/>
  <c r="G592" i="1"/>
  <c r="H592" i="1"/>
  <c r="I592" i="1"/>
  <c r="J592" i="1"/>
  <c r="K592" i="1"/>
  <c r="L592" i="1"/>
  <c r="M592" i="1"/>
  <c r="A593" i="1"/>
  <c r="B593" i="1"/>
  <c r="C593" i="1"/>
  <c r="D593" i="1"/>
  <c r="E593" i="1"/>
  <c r="F593" i="1"/>
  <c r="G593" i="1"/>
  <c r="H593" i="1"/>
  <c r="I593" i="1"/>
  <c r="J593" i="1"/>
  <c r="K593" i="1"/>
  <c r="L593" i="1"/>
  <c r="M593" i="1"/>
  <c r="A594" i="1"/>
  <c r="B594" i="1"/>
  <c r="C594" i="1"/>
  <c r="D594" i="1"/>
  <c r="E594" i="1"/>
  <c r="F594" i="1"/>
  <c r="G594" i="1"/>
  <c r="H594" i="1"/>
  <c r="I594" i="1"/>
  <c r="J594" i="1"/>
  <c r="K594" i="1"/>
  <c r="L594" i="1"/>
  <c r="M594" i="1"/>
  <c r="A595" i="1"/>
  <c r="B595" i="1"/>
  <c r="C595" i="1"/>
  <c r="D595" i="1"/>
  <c r="E595" i="1"/>
  <c r="F595" i="1"/>
  <c r="G595" i="1"/>
  <c r="H595" i="1"/>
  <c r="I595" i="1"/>
  <c r="J595" i="1"/>
  <c r="K595" i="1"/>
  <c r="L595" i="1"/>
  <c r="M595" i="1"/>
  <c r="A596" i="1"/>
  <c r="B596" i="1"/>
  <c r="C596" i="1"/>
  <c r="D596" i="1"/>
  <c r="E596" i="1"/>
  <c r="F596" i="1"/>
  <c r="G596" i="1"/>
  <c r="H596" i="1"/>
  <c r="I596" i="1"/>
  <c r="J596" i="1"/>
  <c r="K596" i="1"/>
  <c r="L596" i="1"/>
  <c r="M596" i="1"/>
  <c r="A597" i="1"/>
  <c r="B597" i="1"/>
  <c r="C597" i="1"/>
  <c r="D597" i="1"/>
  <c r="E597" i="1"/>
  <c r="F597" i="1"/>
  <c r="G597" i="1"/>
  <c r="H597" i="1"/>
  <c r="I597" i="1"/>
  <c r="J597" i="1"/>
  <c r="K597" i="1"/>
  <c r="L597" i="1"/>
  <c r="M597" i="1"/>
  <c r="A598" i="1"/>
  <c r="B598" i="1"/>
  <c r="C598" i="1"/>
  <c r="D598" i="1"/>
  <c r="E598" i="1"/>
  <c r="F598" i="1"/>
  <c r="G598" i="1"/>
  <c r="H598" i="1"/>
  <c r="I598" i="1"/>
  <c r="J598" i="1"/>
  <c r="K598" i="1"/>
  <c r="L598" i="1"/>
  <c r="M598" i="1"/>
  <c r="A599" i="1"/>
  <c r="B599" i="1"/>
  <c r="C599" i="1"/>
  <c r="D599" i="1"/>
  <c r="E599" i="1"/>
  <c r="F599" i="1"/>
  <c r="G599" i="1"/>
  <c r="H599" i="1"/>
  <c r="I599" i="1"/>
  <c r="J599" i="1"/>
  <c r="K599" i="1"/>
  <c r="L599" i="1"/>
  <c r="M599" i="1"/>
  <c r="A600" i="1"/>
  <c r="B600" i="1"/>
  <c r="C600" i="1"/>
  <c r="D600" i="1"/>
  <c r="E600" i="1"/>
  <c r="F600" i="1"/>
  <c r="G600" i="1"/>
  <c r="H600" i="1"/>
  <c r="I600" i="1"/>
  <c r="J600" i="1"/>
  <c r="K600" i="1"/>
  <c r="L600" i="1"/>
  <c r="M600" i="1"/>
  <c r="A601" i="1"/>
  <c r="B601" i="1"/>
  <c r="C601" i="1"/>
  <c r="D601" i="1"/>
  <c r="E601" i="1"/>
  <c r="F601" i="1"/>
  <c r="G601" i="1"/>
  <c r="H601" i="1"/>
  <c r="I601" i="1"/>
  <c r="J601" i="1"/>
  <c r="K601" i="1"/>
  <c r="L601" i="1"/>
  <c r="M601" i="1"/>
  <c r="A602" i="1"/>
  <c r="B602" i="1"/>
  <c r="C602" i="1"/>
  <c r="D602" i="1"/>
  <c r="E602" i="1"/>
  <c r="F602" i="1"/>
  <c r="G602" i="1"/>
  <c r="H602" i="1"/>
  <c r="I602" i="1"/>
  <c r="J602" i="1"/>
  <c r="K602" i="1"/>
  <c r="L602" i="1"/>
  <c r="M602" i="1"/>
  <c r="A603" i="1"/>
  <c r="B603" i="1"/>
  <c r="C603" i="1"/>
  <c r="D603" i="1"/>
  <c r="E603" i="1"/>
  <c r="F603" i="1"/>
  <c r="G603" i="1"/>
  <c r="H603" i="1"/>
  <c r="I603" i="1"/>
  <c r="J603" i="1"/>
  <c r="K603" i="1"/>
  <c r="L603" i="1"/>
  <c r="M603" i="1"/>
  <c r="A604" i="1"/>
  <c r="B604" i="1"/>
  <c r="C604" i="1"/>
  <c r="D604" i="1"/>
  <c r="E604" i="1"/>
  <c r="F604" i="1"/>
  <c r="G604" i="1"/>
  <c r="H604" i="1"/>
  <c r="I604" i="1"/>
  <c r="J604" i="1"/>
  <c r="K604" i="1"/>
  <c r="L604" i="1"/>
  <c r="M604" i="1"/>
  <c r="A605" i="1"/>
  <c r="B605" i="1"/>
  <c r="C605" i="1"/>
  <c r="D605" i="1"/>
  <c r="E605" i="1"/>
  <c r="F605" i="1"/>
  <c r="G605" i="1"/>
  <c r="H605" i="1"/>
  <c r="I605" i="1"/>
  <c r="J605" i="1"/>
  <c r="K605" i="1"/>
  <c r="L605" i="1"/>
  <c r="M605" i="1"/>
  <c r="A606" i="1"/>
  <c r="B606" i="1"/>
  <c r="C606" i="1"/>
  <c r="D606" i="1"/>
  <c r="E606" i="1"/>
  <c r="F606" i="1"/>
  <c r="G606" i="1"/>
  <c r="H606" i="1"/>
  <c r="I606" i="1"/>
  <c r="J606" i="1"/>
  <c r="K606" i="1"/>
  <c r="L606" i="1"/>
  <c r="M606" i="1"/>
  <c r="A607" i="1"/>
  <c r="B607" i="1"/>
  <c r="C607" i="1"/>
  <c r="D607" i="1"/>
  <c r="E607" i="1"/>
  <c r="F607" i="1"/>
  <c r="G607" i="1"/>
  <c r="H607" i="1"/>
  <c r="I607" i="1"/>
  <c r="J607" i="1"/>
  <c r="K607" i="1"/>
  <c r="L607" i="1"/>
  <c r="M607" i="1"/>
  <c r="A608" i="1"/>
  <c r="B608" i="1"/>
  <c r="C608" i="1"/>
  <c r="D608" i="1"/>
  <c r="E608" i="1"/>
  <c r="F608" i="1"/>
  <c r="G608" i="1"/>
  <c r="H608" i="1"/>
  <c r="I608" i="1"/>
  <c r="J608" i="1"/>
  <c r="K608" i="1"/>
  <c r="L608" i="1"/>
  <c r="M608" i="1"/>
  <c r="A609" i="1"/>
  <c r="B609" i="1"/>
  <c r="C609" i="1"/>
  <c r="D609" i="1"/>
  <c r="E609" i="1"/>
  <c r="F609" i="1"/>
  <c r="G609" i="1"/>
  <c r="H609" i="1"/>
  <c r="I609" i="1"/>
  <c r="J609" i="1"/>
  <c r="K609" i="1"/>
  <c r="L609" i="1"/>
  <c r="M609" i="1"/>
  <c r="A610" i="1"/>
  <c r="B610" i="1"/>
  <c r="C610" i="1"/>
  <c r="D610" i="1"/>
  <c r="E610" i="1"/>
  <c r="F610" i="1"/>
  <c r="G610" i="1"/>
  <c r="H610" i="1"/>
  <c r="I610" i="1"/>
  <c r="J610" i="1"/>
  <c r="K610" i="1"/>
  <c r="L610" i="1"/>
  <c r="M610" i="1"/>
  <c r="A611" i="1"/>
  <c r="B611" i="1"/>
  <c r="C611" i="1"/>
  <c r="D611" i="1"/>
  <c r="E611" i="1"/>
  <c r="F611" i="1"/>
  <c r="G611" i="1"/>
  <c r="H611" i="1"/>
  <c r="I611" i="1"/>
  <c r="J611" i="1"/>
  <c r="K611" i="1"/>
  <c r="L611" i="1"/>
  <c r="M611" i="1"/>
  <c r="A612" i="1"/>
  <c r="B612" i="1"/>
  <c r="C612" i="1"/>
  <c r="D612" i="1"/>
  <c r="E612" i="1"/>
  <c r="F612" i="1"/>
  <c r="G612" i="1"/>
  <c r="H612" i="1"/>
  <c r="I612" i="1"/>
  <c r="J612" i="1"/>
  <c r="K612" i="1"/>
  <c r="L612" i="1"/>
  <c r="M612" i="1"/>
  <c r="A613" i="1"/>
  <c r="B613" i="1"/>
  <c r="C613" i="1"/>
  <c r="D613" i="1"/>
  <c r="E613" i="1"/>
  <c r="F613" i="1"/>
  <c r="G613" i="1"/>
  <c r="H613" i="1"/>
  <c r="I613" i="1"/>
  <c r="J613" i="1"/>
  <c r="K613" i="1"/>
  <c r="L613" i="1"/>
  <c r="M613" i="1"/>
  <c r="A614" i="1"/>
  <c r="B614" i="1"/>
  <c r="C614" i="1"/>
  <c r="D614" i="1"/>
  <c r="E614" i="1"/>
  <c r="F614" i="1"/>
  <c r="G614" i="1"/>
  <c r="H614" i="1"/>
  <c r="I614" i="1"/>
  <c r="J614" i="1"/>
  <c r="K614" i="1"/>
  <c r="L614" i="1"/>
  <c r="M614" i="1"/>
  <c r="A615" i="1"/>
  <c r="B615" i="1"/>
  <c r="C615" i="1"/>
  <c r="D615" i="1"/>
  <c r="E615" i="1"/>
  <c r="F615" i="1"/>
  <c r="G615" i="1"/>
  <c r="H615" i="1"/>
  <c r="I615" i="1"/>
  <c r="J615" i="1"/>
  <c r="K615" i="1"/>
  <c r="L615" i="1"/>
  <c r="M615" i="1"/>
  <c r="A616" i="1"/>
  <c r="B616" i="1"/>
  <c r="C616" i="1"/>
  <c r="D616" i="1"/>
  <c r="E616" i="1"/>
  <c r="F616" i="1"/>
  <c r="G616" i="1"/>
  <c r="H616" i="1"/>
  <c r="I616" i="1"/>
  <c r="J616" i="1"/>
  <c r="K616" i="1"/>
  <c r="L616" i="1"/>
  <c r="M616" i="1"/>
  <c r="A617" i="1"/>
  <c r="B617" i="1"/>
  <c r="C617" i="1"/>
  <c r="D617" i="1"/>
  <c r="E617" i="1"/>
  <c r="F617" i="1"/>
  <c r="G617" i="1"/>
  <c r="H617" i="1"/>
  <c r="I617" i="1"/>
  <c r="J617" i="1"/>
  <c r="K617" i="1"/>
  <c r="L617" i="1"/>
  <c r="M617" i="1"/>
  <c r="A618" i="1"/>
  <c r="B618" i="1"/>
  <c r="C618" i="1"/>
  <c r="D618" i="1"/>
  <c r="E618" i="1"/>
  <c r="F618" i="1"/>
  <c r="G618" i="1"/>
  <c r="H618" i="1"/>
  <c r="I618" i="1"/>
  <c r="J618" i="1"/>
  <c r="K618" i="1"/>
  <c r="L618" i="1"/>
  <c r="M618" i="1"/>
  <c r="A619" i="1"/>
  <c r="B619" i="1"/>
  <c r="C619" i="1"/>
  <c r="D619" i="1"/>
  <c r="E619" i="1"/>
  <c r="F619" i="1"/>
  <c r="G619" i="1"/>
  <c r="H619" i="1"/>
  <c r="I619" i="1"/>
  <c r="J619" i="1"/>
  <c r="K619" i="1"/>
  <c r="L619" i="1"/>
  <c r="M619" i="1"/>
  <c r="A620" i="1"/>
  <c r="B620" i="1"/>
  <c r="C620" i="1"/>
  <c r="D620" i="1"/>
  <c r="E620" i="1"/>
  <c r="F620" i="1"/>
  <c r="G620" i="1"/>
  <c r="H620" i="1"/>
  <c r="I620" i="1"/>
  <c r="J620" i="1"/>
  <c r="K620" i="1"/>
  <c r="L620" i="1"/>
  <c r="M620" i="1"/>
  <c r="A621" i="1"/>
  <c r="B621" i="1"/>
  <c r="C621" i="1"/>
  <c r="D621" i="1"/>
  <c r="E621" i="1"/>
  <c r="F621" i="1"/>
  <c r="G621" i="1"/>
  <c r="H621" i="1"/>
  <c r="I621" i="1"/>
  <c r="J621" i="1"/>
  <c r="K621" i="1"/>
  <c r="L621" i="1"/>
  <c r="M621" i="1"/>
  <c r="A622" i="1"/>
  <c r="B622" i="1"/>
  <c r="C622" i="1"/>
  <c r="D622" i="1"/>
  <c r="E622" i="1"/>
  <c r="F622" i="1"/>
  <c r="G622" i="1"/>
  <c r="H622" i="1"/>
  <c r="I622" i="1"/>
  <c r="J622" i="1"/>
  <c r="K622" i="1"/>
  <c r="L622" i="1"/>
  <c r="M622" i="1"/>
  <c r="A623" i="1"/>
  <c r="B623" i="1"/>
  <c r="C623" i="1"/>
  <c r="D623" i="1"/>
  <c r="E623" i="1"/>
  <c r="F623" i="1"/>
  <c r="G623" i="1"/>
  <c r="H623" i="1"/>
  <c r="I623" i="1"/>
  <c r="J623" i="1"/>
  <c r="K623" i="1"/>
  <c r="L623" i="1"/>
  <c r="M623" i="1"/>
  <c r="A624" i="1"/>
  <c r="B624" i="1"/>
  <c r="C624" i="1"/>
  <c r="D624" i="1"/>
  <c r="E624" i="1"/>
  <c r="F624" i="1"/>
  <c r="G624" i="1"/>
  <c r="H624" i="1"/>
  <c r="I624" i="1"/>
  <c r="J624" i="1"/>
  <c r="K624" i="1"/>
  <c r="L624" i="1"/>
  <c r="M624" i="1"/>
  <c r="A625" i="1"/>
  <c r="B625" i="1"/>
  <c r="C625" i="1"/>
  <c r="D625" i="1"/>
  <c r="E625" i="1"/>
  <c r="F625" i="1"/>
  <c r="G625" i="1"/>
  <c r="H625" i="1"/>
  <c r="I625" i="1"/>
  <c r="J625" i="1"/>
  <c r="K625" i="1"/>
  <c r="L625" i="1"/>
  <c r="M625" i="1"/>
  <c r="A626" i="1"/>
  <c r="B626" i="1"/>
  <c r="C626" i="1"/>
  <c r="D626" i="1"/>
  <c r="E626" i="1"/>
  <c r="F626" i="1"/>
  <c r="G626" i="1"/>
  <c r="H626" i="1"/>
  <c r="I626" i="1"/>
  <c r="J626" i="1"/>
  <c r="K626" i="1"/>
  <c r="L626" i="1"/>
  <c r="M626" i="1"/>
  <c r="A627" i="1"/>
  <c r="B627" i="1"/>
  <c r="C627" i="1"/>
  <c r="D627" i="1"/>
  <c r="E627" i="1"/>
  <c r="F627" i="1"/>
  <c r="G627" i="1"/>
  <c r="H627" i="1"/>
  <c r="I627" i="1"/>
  <c r="J627" i="1"/>
  <c r="K627" i="1"/>
  <c r="L627" i="1"/>
  <c r="M627" i="1"/>
  <c r="A628" i="1"/>
  <c r="B628" i="1"/>
  <c r="C628" i="1"/>
  <c r="D628" i="1"/>
  <c r="E628" i="1"/>
  <c r="F628" i="1"/>
  <c r="G628" i="1"/>
  <c r="H628" i="1"/>
  <c r="I628" i="1"/>
  <c r="J628" i="1"/>
  <c r="K628" i="1"/>
  <c r="L628" i="1"/>
  <c r="M628" i="1"/>
  <c r="A629" i="1"/>
  <c r="B629" i="1"/>
  <c r="C629" i="1"/>
  <c r="D629" i="1"/>
  <c r="E629" i="1"/>
  <c r="F629" i="1"/>
  <c r="G629" i="1"/>
  <c r="H629" i="1"/>
  <c r="I629" i="1"/>
  <c r="J629" i="1"/>
  <c r="K629" i="1"/>
  <c r="L629" i="1"/>
  <c r="M629" i="1"/>
  <c r="A630" i="1"/>
  <c r="B630" i="1"/>
  <c r="C630" i="1"/>
  <c r="D630" i="1"/>
  <c r="E630" i="1"/>
  <c r="F630" i="1"/>
  <c r="G630" i="1"/>
  <c r="H630" i="1"/>
  <c r="I630" i="1"/>
  <c r="J630" i="1"/>
  <c r="K630" i="1"/>
  <c r="L630" i="1"/>
  <c r="M630" i="1"/>
  <c r="A631" i="1"/>
  <c r="B631" i="1"/>
  <c r="C631" i="1"/>
  <c r="D631" i="1"/>
  <c r="E631" i="1"/>
  <c r="F631" i="1"/>
  <c r="G631" i="1"/>
  <c r="H631" i="1"/>
  <c r="I631" i="1"/>
  <c r="J631" i="1"/>
  <c r="K631" i="1"/>
  <c r="L631" i="1"/>
  <c r="M631" i="1"/>
  <c r="A632" i="1"/>
  <c r="B632" i="1"/>
  <c r="C632" i="1"/>
  <c r="D632" i="1"/>
  <c r="E632" i="1"/>
  <c r="F632" i="1"/>
  <c r="G632" i="1"/>
  <c r="H632" i="1"/>
  <c r="I632" i="1"/>
  <c r="J632" i="1"/>
  <c r="K632" i="1"/>
  <c r="L632" i="1"/>
  <c r="M632" i="1"/>
  <c r="A633" i="1"/>
  <c r="B633" i="1"/>
  <c r="C633" i="1"/>
  <c r="D633" i="1"/>
  <c r="E633" i="1"/>
  <c r="F633" i="1"/>
  <c r="G633" i="1"/>
  <c r="H633" i="1"/>
  <c r="I633" i="1"/>
  <c r="J633" i="1"/>
  <c r="K633" i="1"/>
  <c r="L633" i="1"/>
  <c r="M633" i="1"/>
  <c r="A634" i="1"/>
  <c r="B634" i="1"/>
  <c r="C634" i="1"/>
  <c r="D634" i="1"/>
  <c r="E634" i="1"/>
  <c r="F634" i="1"/>
  <c r="G634" i="1"/>
  <c r="H634" i="1"/>
  <c r="I634" i="1"/>
  <c r="J634" i="1"/>
  <c r="K634" i="1"/>
  <c r="L634" i="1"/>
  <c r="M634" i="1"/>
  <c r="A635" i="1"/>
  <c r="B635" i="1"/>
  <c r="C635" i="1"/>
  <c r="D635" i="1"/>
  <c r="E635" i="1"/>
  <c r="F635" i="1"/>
  <c r="G635" i="1"/>
  <c r="H635" i="1"/>
  <c r="I635" i="1"/>
  <c r="J635" i="1"/>
  <c r="K635" i="1"/>
  <c r="L635" i="1"/>
  <c r="M635" i="1"/>
  <c r="A636" i="1"/>
  <c r="B636" i="1"/>
  <c r="C636" i="1"/>
  <c r="D636" i="1"/>
  <c r="E636" i="1"/>
  <c r="F636" i="1"/>
  <c r="G636" i="1"/>
  <c r="H636" i="1"/>
  <c r="I636" i="1"/>
  <c r="J636" i="1"/>
  <c r="K636" i="1"/>
  <c r="L636" i="1"/>
  <c r="M636" i="1"/>
  <c r="A637" i="1"/>
  <c r="B637" i="1"/>
  <c r="C637" i="1"/>
  <c r="D637" i="1"/>
  <c r="E637" i="1"/>
  <c r="F637" i="1"/>
  <c r="G637" i="1"/>
  <c r="H637" i="1"/>
  <c r="I637" i="1"/>
  <c r="J637" i="1"/>
  <c r="K637" i="1"/>
  <c r="L637" i="1"/>
  <c r="M637" i="1"/>
  <c r="A638" i="1"/>
  <c r="B638" i="1"/>
  <c r="C638" i="1"/>
  <c r="D638" i="1"/>
  <c r="E638" i="1"/>
  <c r="F638" i="1"/>
  <c r="G638" i="1"/>
  <c r="H638" i="1"/>
  <c r="I638" i="1"/>
  <c r="J638" i="1"/>
  <c r="K638" i="1"/>
  <c r="L638" i="1"/>
  <c r="M638" i="1"/>
  <c r="A639" i="1"/>
  <c r="B639" i="1"/>
  <c r="C639" i="1"/>
  <c r="D639" i="1"/>
  <c r="E639" i="1"/>
  <c r="F639" i="1"/>
  <c r="G639" i="1"/>
  <c r="H639" i="1"/>
  <c r="I639" i="1"/>
  <c r="J639" i="1"/>
  <c r="K639" i="1"/>
  <c r="L639" i="1"/>
  <c r="M639" i="1"/>
  <c r="A640" i="1"/>
  <c r="B640" i="1"/>
  <c r="C640" i="1"/>
  <c r="D640" i="1"/>
  <c r="E640" i="1"/>
  <c r="F640" i="1"/>
  <c r="G640" i="1"/>
  <c r="H640" i="1"/>
  <c r="I640" i="1"/>
  <c r="J640" i="1"/>
  <c r="K640" i="1"/>
  <c r="L640" i="1"/>
  <c r="M640" i="1"/>
  <c r="A641" i="1"/>
  <c r="B641" i="1"/>
  <c r="C641" i="1"/>
  <c r="D641" i="1"/>
  <c r="E641" i="1"/>
  <c r="F641" i="1"/>
  <c r="G641" i="1"/>
  <c r="H641" i="1"/>
  <c r="I641" i="1"/>
  <c r="J641" i="1"/>
  <c r="K641" i="1"/>
  <c r="L641" i="1"/>
  <c r="M641" i="1"/>
  <c r="A642" i="1"/>
  <c r="B642" i="1"/>
  <c r="C642" i="1"/>
  <c r="D642" i="1"/>
  <c r="E642" i="1"/>
  <c r="F642" i="1"/>
  <c r="G642" i="1"/>
  <c r="H642" i="1"/>
  <c r="I642" i="1"/>
  <c r="J642" i="1"/>
  <c r="K642" i="1"/>
  <c r="L642" i="1"/>
  <c r="M642" i="1"/>
  <c r="A643" i="1"/>
  <c r="B643" i="1"/>
  <c r="C643" i="1"/>
  <c r="D643" i="1"/>
  <c r="E643" i="1"/>
  <c r="F643" i="1"/>
  <c r="G643" i="1"/>
  <c r="H643" i="1"/>
  <c r="I643" i="1"/>
  <c r="J643" i="1"/>
  <c r="K643" i="1"/>
  <c r="L643" i="1"/>
  <c r="M643" i="1"/>
  <c r="A644" i="1"/>
  <c r="B644" i="1"/>
  <c r="C644" i="1"/>
  <c r="D644" i="1"/>
  <c r="E644" i="1"/>
  <c r="F644" i="1"/>
  <c r="G644" i="1"/>
  <c r="H644" i="1"/>
  <c r="I644" i="1"/>
  <c r="J644" i="1"/>
  <c r="K644" i="1"/>
  <c r="L644" i="1"/>
  <c r="M644" i="1"/>
  <c r="A645" i="1"/>
  <c r="B645" i="1"/>
  <c r="C645" i="1"/>
  <c r="D645" i="1"/>
  <c r="E645" i="1"/>
  <c r="F645" i="1"/>
  <c r="G645" i="1"/>
  <c r="H645" i="1"/>
  <c r="I645" i="1"/>
  <c r="J645" i="1"/>
  <c r="K645" i="1"/>
  <c r="L645" i="1"/>
  <c r="M645" i="1"/>
  <c r="A646" i="1"/>
  <c r="B646" i="1"/>
  <c r="C646" i="1"/>
  <c r="D646" i="1"/>
  <c r="E646" i="1"/>
  <c r="F646" i="1"/>
  <c r="G646" i="1"/>
  <c r="H646" i="1"/>
  <c r="I646" i="1"/>
  <c r="J646" i="1"/>
  <c r="K646" i="1"/>
  <c r="L646" i="1"/>
  <c r="M646" i="1"/>
  <c r="A647" i="1"/>
  <c r="B647" i="1"/>
  <c r="C647" i="1"/>
  <c r="D647" i="1"/>
  <c r="E647" i="1"/>
  <c r="F647" i="1"/>
  <c r="G647" i="1"/>
  <c r="H647" i="1"/>
  <c r="I647" i="1"/>
  <c r="J647" i="1"/>
  <c r="K647" i="1"/>
  <c r="L647" i="1"/>
  <c r="M647" i="1"/>
  <c r="A648" i="1"/>
  <c r="B648" i="1"/>
  <c r="C648" i="1"/>
  <c r="D648" i="1"/>
  <c r="E648" i="1"/>
  <c r="F648" i="1"/>
  <c r="G648" i="1"/>
  <c r="H648" i="1"/>
  <c r="I648" i="1"/>
  <c r="J648" i="1"/>
  <c r="K648" i="1"/>
  <c r="L648" i="1"/>
  <c r="M648" i="1"/>
  <c r="A649" i="1"/>
  <c r="B649" i="1"/>
  <c r="C649" i="1"/>
  <c r="D649" i="1"/>
  <c r="E649" i="1"/>
  <c r="F649" i="1"/>
  <c r="G649" i="1"/>
  <c r="H649" i="1"/>
  <c r="I649" i="1"/>
  <c r="J649" i="1"/>
  <c r="K649" i="1"/>
  <c r="L649" i="1"/>
  <c r="M649" i="1"/>
  <c r="A650" i="1"/>
  <c r="B650" i="1"/>
  <c r="C650" i="1"/>
  <c r="D650" i="1"/>
  <c r="E650" i="1"/>
  <c r="F650" i="1"/>
  <c r="G650" i="1"/>
  <c r="H650" i="1"/>
  <c r="I650" i="1"/>
  <c r="J650" i="1"/>
  <c r="K650" i="1"/>
  <c r="L650" i="1"/>
  <c r="M650" i="1"/>
  <c r="A651" i="1"/>
  <c r="B651" i="1"/>
  <c r="C651" i="1"/>
  <c r="D651" i="1"/>
  <c r="E651" i="1"/>
  <c r="F651" i="1"/>
  <c r="G651" i="1"/>
  <c r="H651" i="1"/>
  <c r="I651" i="1"/>
  <c r="J651" i="1"/>
  <c r="K651" i="1"/>
  <c r="L651" i="1"/>
  <c r="M651" i="1"/>
  <c r="A652" i="1"/>
  <c r="B652" i="1"/>
  <c r="C652" i="1"/>
  <c r="D652" i="1"/>
  <c r="E652" i="1"/>
  <c r="F652" i="1"/>
  <c r="G652" i="1"/>
  <c r="H652" i="1"/>
  <c r="I652" i="1"/>
  <c r="J652" i="1"/>
  <c r="K652" i="1"/>
  <c r="L652" i="1"/>
  <c r="M652" i="1"/>
  <c r="A653" i="1"/>
  <c r="B653" i="1"/>
  <c r="C653" i="1"/>
  <c r="D653" i="1"/>
  <c r="E653" i="1"/>
  <c r="F653" i="1"/>
  <c r="G653" i="1"/>
  <c r="H653" i="1"/>
  <c r="I653" i="1"/>
  <c r="J653" i="1"/>
  <c r="K653" i="1"/>
  <c r="L653" i="1"/>
  <c r="M653" i="1"/>
  <c r="A654" i="1"/>
  <c r="B654" i="1"/>
  <c r="C654" i="1"/>
  <c r="D654" i="1"/>
  <c r="E654" i="1"/>
  <c r="F654" i="1"/>
  <c r="G654" i="1"/>
  <c r="H654" i="1"/>
  <c r="I654" i="1"/>
  <c r="J654" i="1"/>
  <c r="K654" i="1"/>
  <c r="L654" i="1"/>
  <c r="M654" i="1"/>
  <c r="A655" i="1"/>
  <c r="B655" i="1"/>
  <c r="C655" i="1"/>
  <c r="D655" i="1"/>
  <c r="E655" i="1"/>
  <c r="F655" i="1"/>
  <c r="G655" i="1"/>
  <c r="H655" i="1"/>
  <c r="I655" i="1"/>
  <c r="J655" i="1"/>
  <c r="K655" i="1"/>
  <c r="L655" i="1"/>
  <c r="M655" i="1"/>
  <c r="A656" i="1"/>
  <c r="B656" i="1"/>
  <c r="C656" i="1"/>
  <c r="D656" i="1"/>
  <c r="E656" i="1"/>
  <c r="F656" i="1"/>
  <c r="G656" i="1"/>
  <c r="H656" i="1"/>
  <c r="I656" i="1"/>
  <c r="J656" i="1"/>
  <c r="K656" i="1"/>
  <c r="L656" i="1"/>
  <c r="M656" i="1"/>
  <c r="A657" i="1"/>
  <c r="B657" i="1"/>
  <c r="C657" i="1"/>
  <c r="D657" i="1"/>
  <c r="E657" i="1"/>
  <c r="F657" i="1"/>
  <c r="G657" i="1"/>
  <c r="H657" i="1"/>
  <c r="I657" i="1"/>
  <c r="J657" i="1"/>
  <c r="K657" i="1"/>
  <c r="L657" i="1"/>
  <c r="M657" i="1"/>
  <c r="A658" i="1"/>
  <c r="B658" i="1"/>
  <c r="C658" i="1"/>
  <c r="D658" i="1"/>
  <c r="E658" i="1"/>
  <c r="F658" i="1"/>
  <c r="G658" i="1"/>
  <c r="H658" i="1"/>
  <c r="I658" i="1"/>
  <c r="J658" i="1"/>
  <c r="K658" i="1"/>
  <c r="L658" i="1"/>
  <c r="M658" i="1"/>
  <c r="A659" i="1"/>
  <c r="B659" i="1"/>
  <c r="C659" i="1"/>
  <c r="D659" i="1"/>
  <c r="E659" i="1"/>
  <c r="F659" i="1"/>
  <c r="G659" i="1"/>
  <c r="H659" i="1"/>
  <c r="I659" i="1"/>
  <c r="J659" i="1"/>
  <c r="K659" i="1"/>
  <c r="L659" i="1"/>
  <c r="M659" i="1"/>
  <c r="A660" i="1"/>
  <c r="B660" i="1"/>
  <c r="C660" i="1"/>
  <c r="D660" i="1"/>
  <c r="E660" i="1"/>
  <c r="F660" i="1"/>
  <c r="G660" i="1"/>
  <c r="H660" i="1"/>
  <c r="I660" i="1"/>
  <c r="J660" i="1"/>
  <c r="K660" i="1"/>
  <c r="L660" i="1"/>
  <c r="M660" i="1"/>
  <c r="A661" i="1"/>
  <c r="B661" i="1"/>
  <c r="C661" i="1"/>
  <c r="D661" i="1"/>
  <c r="E661" i="1"/>
  <c r="F661" i="1"/>
  <c r="G661" i="1"/>
  <c r="H661" i="1"/>
  <c r="I661" i="1"/>
  <c r="J661" i="1"/>
  <c r="K661" i="1"/>
  <c r="L661" i="1"/>
  <c r="M661" i="1"/>
  <c r="A662" i="1"/>
  <c r="B662" i="1"/>
  <c r="C662" i="1"/>
  <c r="D662" i="1"/>
  <c r="E662" i="1"/>
  <c r="F662" i="1"/>
  <c r="G662" i="1"/>
  <c r="H662" i="1"/>
  <c r="I662" i="1"/>
  <c r="J662" i="1"/>
  <c r="K662" i="1"/>
  <c r="L662" i="1"/>
  <c r="M662" i="1"/>
  <c r="A663" i="1"/>
  <c r="B663" i="1"/>
  <c r="C663" i="1"/>
  <c r="D663" i="1"/>
  <c r="E663" i="1"/>
  <c r="F663" i="1"/>
  <c r="G663" i="1"/>
  <c r="H663" i="1"/>
  <c r="I663" i="1"/>
  <c r="J663" i="1"/>
  <c r="K663" i="1"/>
  <c r="L663" i="1"/>
  <c r="M663" i="1"/>
  <c r="A664" i="1"/>
  <c r="B664" i="1"/>
  <c r="C664" i="1"/>
  <c r="D664" i="1"/>
  <c r="E664" i="1"/>
  <c r="F664" i="1"/>
  <c r="G664" i="1"/>
  <c r="H664" i="1"/>
  <c r="I664" i="1"/>
  <c r="J664" i="1"/>
  <c r="K664" i="1"/>
  <c r="L664" i="1"/>
  <c r="M664" i="1"/>
  <c r="A665" i="1"/>
  <c r="B665" i="1"/>
  <c r="C665" i="1"/>
  <c r="D665" i="1"/>
  <c r="E665" i="1"/>
  <c r="F665" i="1"/>
  <c r="G665" i="1"/>
  <c r="H665" i="1"/>
  <c r="I665" i="1"/>
  <c r="J665" i="1"/>
  <c r="K665" i="1"/>
  <c r="L665" i="1"/>
  <c r="M665" i="1"/>
  <c r="A666" i="1"/>
  <c r="B666" i="1"/>
  <c r="C666" i="1"/>
  <c r="D666" i="1"/>
  <c r="E666" i="1"/>
  <c r="F666" i="1"/>
  <c r="G666" i="1"/>
  <c r="H666" i="1"/>
  <c r="I666" i="1"/>
  <c r="J666" i="1"/>
  <c r="K666" i="1"/>
  <c r="L666" i="1"/>
  <c r="M666" i="1"/>
  <c r="A667" i="1"/>
  <c r="B667" i="1"/>
  <c r="C667" i="1"/>
  <c r="D667" i="1"/>
  <c r="E667" i="1"/>
  <c r="F667" i="1"/>
  <c r="G667" i="1"/>
  <c r="H667" i="1"/>
  <c r="I667" i="1"/>
  <c r="J667" i="1"/>
  <c r="K667" i="1"/>
  <c r="L667" i="1"/>
  <c r="M667" i="1"/>
  <c r="A668" i="1"/>
  <c r="B668" i="1"/>
  <c r="C668" i="1"/>
  <c r="D668" i="1"/>
  <c r="E668" i="1"/>
  <c r="F668" i="1"/>
  <c r="G668" i="1"/>
  <c r="H668" i="1"/>
  <c r="I668" i="1"/>
  <c r="J668" i="1"/>
  <c r="K668" i="1"/>
  <c r="L668" i="1"/>
  <c r="M668" i="1"/>
  <c r="A669" i="1"/>
  <c r="B669" i="1"/>
  <c r="C669" i="1"/>
  <c r="D669" i="1"/>
  <c r="E669" i="1"/>
  <c r="F669" i="1"/>
  <c r="G669" i="1"/>
  <c r="H669" i="1"/>
  <c r="I669" i="1"/>
  <c r="J669" i="1"/>
  <c r="K669" i="1"/>
  <c r="L669" i="1"/>
  <c r="M669" i="1"/>
  <c r="A670" i="1"/>
  <c r="B670" i="1"/>
  <c r="C670" i="1"/>
  <c r="D670" i="1"/>
  <c r="E670" i="1"/>
  <c r="F670" i="1"/>
  <c r="G670" i="1"/>
  <c r="H670" i="1"/>
  <c r="I670" i="1"/>
  <c r="J670" i="1"/>
  <c r="K670" i="1"/>
  <c r="L670" i="1"/>
  <c r="M670" i="1"/>
  <c r="A671" i="1"/>
  <c r="B671" i="1"/>
  <c r="C671" i="1"/>
  <c r="D671" i="1"/>
  <c r="E671" i="1"/>
  <c r="F671" i="1"/>
  <c r="G671" i="1"/>
  <c r="H671" i="1"/>
  <c r="I671" i="1"/>
  <c r="J671" i="1"/>
  <c r="K671" i="1"/>
  <c r="L671" i="1"/>
  <c r="M671" i="1"/>
  <c r="A672" i="1"/>
  <c r="B672" i="1"/>
  <c r="C672" i="1"/>
  <c r="D672" i="1"/>
  <c r="E672" i="1"/>
  <c r="F672" i="1"/>
  <c r="G672" i="1"/>
  <c r="H672" i="1"/>
  <c r="I672" i="1"/>
  <c r="J672" i="1"/>
  <c r="K672" i="1"/>
  <c r="L672" i="1"/>
  <c r="M672" i="1"/>
  <c r="A673" i="1"/>
  <c r="B673" i="1"/>
  <c r="C673" i="1"/>
  <c r="D673" i="1"/>
  <c r="E673" i="1"/>
  <c r="F673" i="1"/>
  <c r="G673" i="1"/>
  <c r="H673" i="1"/>
  <c r="I673" i="1"/>
  <c r="J673" i="1"/>
  <c r="K673" i="1"/>
  <c r="L673" i="1"/>
  <c r="M673" i="1"/>
  <c r="A674" i="1"/>
  <c r="B674" i="1"/>
  <c r="C674" i="1"/>
  <c r="D674" i="1"/>
  <c r="E674" i="1"/>
  <c r="F674" i="1"/>
  <c r="G674" i="1"/>
  <c r="H674" i="1"/>
  <c r="I674" i="1"/>
  <c r="J674" i="1"/>
  <c r="K674" i="1"/>
  <c r="L674" i="1"/>
  <c r="M674" i="1"/>
  <c r="A675" i="1"/>
  <c r="B675" i="1"/>
  <c r="C675" i="1"/>
  <c r="D675" i="1"/>
  <c r="E675" i="1"/>
  <c r="F675" i="1"/>
  <c r="G675" i="1"/>
  <c r="H675" i="1"/>
  <c r="I675" i="1"/>
  <c r="J675" i="1"/>
  <c r="K675" i="1"/>
  <c r="L675" i="1"/>
  <c r="M675" i="1"/>
  <c r="A676" i="1"/>
  <c r="B676" i="1"/>
  <c r="C676" i="1"/>
  <c r="D676" i="1"/>
  <c r="E676" i="1"/>
  <c r="F676" i="1"/>
  <c r="G676" i="1"/>
  <c r="H676" i="1"/>
  <c r="I676" i="1"/>
  <c r="J676" i="1"/>
  <c r="K676" i="1"/>
  <c r="L676" i="1"/>
  <c r="M676" i="1"/>
  <c r="A677" i="1"/>
  <c r="B677" i="1"/>
  <c r="C677" i="1"/>
  <c r="D677" i="1"/>
  <c r="E677" i="1"/>
  <c r="F677" i="1"/>
  <c r="G677" i="1"/>
  <c r="H677" i="1"/>
  <c r="I677" i="1"/>
  <c r="J677" i="1"/>
  <c r="K677" i="1"/>
  <c r="L677" i="1"/>
  <c r="M677" i="1"/>
  <c r="A678" i="1"/>
  <c r="B678" i="1"/>
  <c r="C678" i="1"/>
  <c r="D678" i="1"/>
  <c r="E678" i="1"/>
  <c r="F678" i="1"/>
  <c r="G678" i="1"/>
  <c r="H678" i="1"/>
  <c r="I678" i="1"/>
  <c r="J678" i="1"/>
  <c r="K678" i="1"/>
  <c r="L678" i="1"/>
  <c r="M678" i="1"/>
  <c r="A679" i="1"/>
  <c r="B679" i="1"/>
  <c r="C679" i="1"/>
  <c r="D679" i="1"/>
  <c r="E679" i="1"/>
  <c r="F679" i="1"/>
  <c r="G679" i="1"/>
  <c r="H679" i="1"/>
  <c r="I679" i="1"/>
  <c r="J679" i="1"/>
  <c r="K679" i="1"/>
  <c r="L679" i="1"/>
  <c r="M679" i="1"/>
  <c r="A680" i="1"/>
  <c r="B680" i="1"/>
  <c r="C680" i="1"/>
  <c r="D680" i="1"/>
  <c r="E680" i="1"/>
  <c r="F680" i="1"/>
  <c r="G680" i="1"/>
  <c r="H680" i="1"/>
  <c r="I680" i="1"/>
  <c r="J680" i="1"/>
  <c r="K680" i="1"/>
  <c r="L680" i="1"/>
  <c r="M680" i="1"/>
  <c r="A681" i="1"/>
  <c r="B681" i="1"/>
  <c r="C681" i="1"/>
  <c r="D681" i="1"/>
  <c r="E681" i="1"/>
  <c r="F681" i="1"/>
  <c r="G681" i="1"/>
  <c r="H681" i="1"/>
  <c r="I681" i="1"/>
  <c r="J681" i="1"/>
  <c r="K681" i="1"/>
  <c r="L681" i="1"/>
  <c r="M681" i="1"/>
  <c r="A682" i="1"/>
  <c r="B682" i="1"/>
  <c r="C682" i="1"/>
  <c r="D682" i="1"/>
  <c r="E682" i="1"/>
  <c r="F682" i="1"/>
  <c r="G682" i="1"/>
  <c r="H682" i="1"/>
  <c r="I682" i="1"/>
  <c r="J682" i="1"/>
  <c r="K682" i="1"/>
  <c r="L682" i="1"/>
  <c r="M682" i="1"/>
  <c r="A683" i="1"/>
  <c r="B683" i="1"/>
  <c r="C683" i="1"/>
  <c r="D683" i="1"/>
  <c r="E683" i="1"/>
  <c r="F683" i="1"/>
  <c r="G683" i="1"/>
  <c r="H683" i="1"/>
  <c r="I683" i="1"/>
  <c r="J683" i="1"/>
  <c r="K683" i="1"/>
  <c r="L683" i="1"/>
  <c r="M683" i="1"/>
  <c r="A684" i="1"/>
  <c r="B684" i="1"/>
  <c r="C684" i="1"/>
  <c r="D684" i="1"/>
  <c r="E684" i="1"/>
  <c r="F684" i="1"/>
  <c r="G684" i="1"/>
  <c r="H684" i="1"/>
  <c r="I684" i="1"/>
  <c r="J684" i="1"/>
  <c r="K684" i="1"/>
  <c r="L684" i="1"/>
  <c r="M684" i="1"/>
  <c r="A685" i="1"/>
  <c r="B685" i="1"/>
  <c r="C685" i="1"/>
  <c r="D685" i="1"/>
  <c r="E685" i="1"/>
  <c r="F685" i="1"/>
  <c r="G685" i="1"/>
  <c r="H685" i="1"/>
  <c r="I685" i="1"/>
  <c r="J685" i="1"/>
  <c r="K685" i="1"/>
  <c r="L685" i="1"/>
  <c r="M685" i="1"/>
  <c r="A686" i="1"/>
  <c r="B686" i="1"/>
  <c r="C686" i="1"/>
  <c r="D686" i="1"/>
  <c r="E686" i="1"/>
  <c r="F686" i="1"/>
  <c r="G686" i="1"/>
  <c r="H686" i="1"/>
  <c r="I686" i="1"/>
  <c r="J686" i="1"/>
  <c r="K686" i="1"/>
  <c r="L686" i="1"/>
  <c r="M686" i="1"/>
  <c r="A687" i="1"/>
  <c r="B687" i="1"/>
  <c r="C687" i="1"/>
  <c r="D687" i="1"/>
  <c r="E687" i="1"/>
  <c r="F687" i="1"/>
  <c r="G687" i="1"/>
  <c r="H687" i="1"/>
  <c r="I687" i="1"/>
  <c r="J687" i="1"/>
  <c r="K687" i="1"/>
  <c r="L687" i="1"/>
  <c r="M687" i="1"/>
  <c r="A688" i="1"/>
  <c r="B688" i="1"/>
  <c r="C688" i="1"/>
  <c r="D688" i="1"/>
  <c r="E688" i="1"/>
  <c r="F688" i="1"/>
  <c r="G688" i="1"/>
  <c r="H688" i="1"/>
  <c r="I688" i="1"/>
  <c r="J688" i="1"/>
  <c r="K688" i="1"/>
  <c r="L688" i="1"/>
  <c r="M688" i="1"/>
  <c r="A689" i="1"/>
  <c r="B689" i="1"/>
  <c r="C689" i="1"/>
  <c r="D689" i="1"/>
  <c r="E689" i="1"/>
  <c r="F689" i="1"/>
  <c r="G689" i="1"/>
  <c r="H689" i="1"/>
  <c r="I689" i="1"/>
  <c r="J689" i="1"/>
  <c r="K689" i="1"/>
  <c r="L689" i="1"/>
  <c r="M689" i="1"/>
  <c r="A690" i="1"/>
  <c r="B690" i="1"/>
  <c r="C690" i="1"/>
  <c r="D690" i="1"/>
  <c r="E690" i="1"/>
  <c r="F690" i="1"/>
  <c r="G690" i="1"/>
  <c r="H690" i="1"/>
  <c r="I690" i="1"/>
  <c r="J690" i="1"/>
  <c r="K690" i="1"/>
  <c r="L690" i="1"/>
  <c r="M690" i="1"/>
  <c r="A691" i="1"/>
  <c r="B691" i="1"/>
  <c r="C691" i="1"/>
  <c r="D691" i="1"/>
  <c r="E691" i="1"/>
  <c r="F691" i="1"/>
  <c r="G691" i="1"/>
  <c r="H691" i="1"/>
  <c r="I691" i="1"/>
  <c r="J691" i="1"/>
  <c r="K691" i="1"/>
  <c r="L691" i="1"/>
  <c r="M691" i="1"/>
  <c r="A692" i="1"/>
  <c r="B692" i="1"/>
  <c r="C692" i="1"/>
  <c r="D692" i="1"/>
  <c r="E692" i="1"/>
  <c r="F692" i="1"/>
  <c r="G692" i="1"/>
  <c r="H692" i="1"/>
  <c r="I692" i="1"/>
  <c r="J692" i="1"/>
  <c r="K692" i="1"/>
  <c r="L692" i="1"/>
  <c r="M692" i="1"/>
  <c r="A693" i="1"/>
  <c r="B693" i="1"/>
  <c r="C693" i="1"/>
  <c r="D693" i="1"/>
  <c r="E693" i="1"/>
  <c r="F693" i="1"/>
  <c r="G693" i="1"/>
  <c r="H693" i="1"/>
  <c r="I693" i="1"/>
  <c r="J693" i="1"/>
  <c r="K693" i="1"/>
  <c r="L693" i="1"/>
  <c r="M693" i="1"/>
  <c r="A694" i="1"/>
  <c r="B694" i="1"/>
  <c r="C694" i="1"/>
  <c r="D694" i="1"/>
  <c r="E694" i="1"/>
  <c r="F694" i="1"/>
  <c r="G694" i="1"/>
  <c r="H694" i="1"/>
  <c r="I694" i="1"/>
  <c r="J694" i="1"/>
  <c r="K694" i="1"/>
  <c r="L694" i="1"/>
  <c r="M694" i="1"/>
  <c r="A695" i="1"/>
  <c r="B695" i="1"/>
  <c r="C695" i="1"/>
  <c r="D695" i="1"/>
  <c r="E695" i="1"/>
  <c r="F695" i="1"/>
  <c r="G695" i="1"/>
  <c r="H695" i="1"/>
  <c r="I695" i="1"/>
  <c r="J695" i="1"/>
  <c r="K695" i="1"/>
  <c r="L695" i="1"/>
  <c r="M695" i="1"/>
  <c r="A696" i="1"/>
  <c r="B696" i="1"/>
  <c r="C696" i="1"/>
  <c r="D696" i="1"/>
  <c r="E696" i="1"/>
  <c r="F696" i="1"/>
  <c r="G696" i="1"/>
  <c r="H696" i="1"/>
  <c r="I696" i="1"/>
  <c r="J696" i="1"/>
  <c r="K696" i="1"/>
  <c r="L696" i="1"/>
  <c r="M696" i="1"/>
  <c r="A697" i="1"/>
  <c r="B697" i="1"/>
  <c r="C697" i="1"/>
  <c r="D697" i="1"/>
  <c r="E697" i="1"/>
  <c r="F697" i="1"/>
  <c r="G697" i="1"/>
  <c r="H697" i="1"/>
  <c r="I697" i="1"/>
  <c r="J697" i="1"/>
  <c r="K697" i="1"/>
  <c r="L697" i="1"/>
  <c r="M697" i="1"/>
  <c r="A698" i="1"/>
  <c r="B698" i="1"/>
  <c r="C698" i="1"/>
  <c r="D698" i="1"/>
  <c r="E698" i="1"/>
  <c r="F698" i="1"/>
  <c r="G698" i="1"/>
  <c r="H698" i="1"/>
  <c r="I698" i="1"/>
  <c r="J698" i="1"/>
  <c r="K698" i="1"/>
  <c r="L698" i="1"/>
  <c r="M698" i="1"/>
  <c r="A699" i="1"/>
  <c r="B699" i="1"/>
  <c r="C699" i="1"/>
  <c r="D699" i="1"/>
  <c r="E699" i="1"/>
  <c r="F699" i="1"/>
  <c r="G699" i="1"/>
  <c r="H699" i="1"/>
  <c r="I699" i="1"/>
  <c r="J699" i="1"/>
  <c r="K699" i="1"/>
  <c r="L699" i="1"/>
  <c r="M699" i="1"/>
  <c r="A700" i="1"/>
  <c r="B700" i="1"/>
  <c r="C700" i="1"/>
  <c r="D700" i="1"/>
  <c r="E700" i="1"/>
  <c r="F700" i="1"/>
  <c r="G700" i="1"/>
  <c r="H700" i="1"/>
  <c r="I700" i="1"/>
  <c r="J700" i="1"/>
  <c r="K700" i="1"/>
  <c r="L700" i="1"/>
  <c r="M700" i="1"/>
  <c r="A701" i="1"/>
  <c r="B701" i="1"/>
  <c r="C701" i="1"/>
  <c r="D701" i="1"/>
  <c r="E701" i="1"/>
  <c r="F701" i="1"/>
  <c r="G701" i="1"/>
  <c r="H701" i="1"/>
  <c r="I701" i="1"/>
  <c r="J701" i="1"/>
  <c r="K701" i="1"/>
  <c r="L701" i="1"/>
  <c r="M701" i="1"/>
  <c r="A702" i="1"/>
  <c r="B702" i="1"/>
  <c r="C702" i="1"/>
  <c r="D702" i="1"/>
  <c r="E702" i="1"/>
  <c r="F702" i="1"/>
  <c r="G702" i="1"/>
  <c r="H702" i="1"/>
  <c r="I702" i="1"/>
  <c r="J702" i="1"/>
  <c r="K702" i="1"/>
  <c r="L702" i="1"/>
  <c r="M702" i="1"/>
  <c r="A703" i="1"/>
  <c r="B703" i="1"/>
  <c r="C703" i="1"/>
  <c r="D703" i="1"/>
  <c r="E703" i="1"/>
  <c r="F703" i="1"/>
  <c r="G703" i="1"/>
  <c r="H703" i="1"/>
  <c r="I703" i="1"/>
  <c r="J703" i="1"/>
  <c r="K703" i="1"/>
  <c r="L703" i="1"/>
  <c r="M703" i="1"/>
  <c r="A704" i="1"/>
  <c r="B704" i="1"/>
  <c r="C704" i="1"/>
  <c r="D704" i="1"/>
  <c r="E704" i="1"/>
  <c r="F704" i="1"/>
  <c r="G704" i="1"/>
  <c r="H704" i="1"/>
  <c r="I704" i="1"/>
  <c r="J704" i="1"/>
  <c r="K704" i="1"/>
  <c r="L704" i="1"/>
  <c r="M704" i="1"/>
  <c r="A705" i="1"/>
  <c r="B705" i="1"/>
  <c r="C705" i="1"/>
  <c r="D705" i="1"/>
  <c r="E705" i="1"/>
  <c r="F705" i="1"/>
  <c r="G705" i="1"/>
  <c r="H705" i="1"/>
  <c r="I705" i="1"/>
  <c r="J705" i="1"/>
  <c r="K705" i="1"/>
  <c r="L705" i="1"/>
  <c r="M705" i="1"/>
  <c r="A706" i="1"/>
  <c r="B706" i="1"/>
  <c r="C706" i="1"/>
  <c r="D706" i="1"/>
  <c r="E706" i="1"/>
  <c r="F706" i="1"/>
  <c r="G706" i="1"/>
  <c r="H706" i="1"/>
  <c r="I706" i="1"/>
  <c r="J706" i="1"/>
  <c r="K706" i="1"/>
  <c r="L706" i="1"/>
  <c r="M706" i="1"/>
  <c r="A707" i="1"/>
  <c r="B707" i="1"/>
  <c r="C707" i="1"/>
  <c r="D707" i="1"/>
  <c r="E707" i="1"/>
  <c r="F707" i="1"/>
  <c r="G707" i="1"/>
  <c r="H707" i="1"/>
  <c r="I707" i="1"/>
  <c r="J707" i="1"/>
  <c r="K707" i="1"/>
  <c r="L707" i="1"/>
  <c r="M707" i="1"/>
  <c r="A708" i="1"/>
  <c r="B708" i="1"/>
  <c r="C708" i="1"/>
  <c r="D708" i="1"/>
  <c r="E708" i="1"/>
  <c r="F708" i="1"/>
  <c r="G708" i="1"/>
  <c r="H708" i="1"/>
  <c r="I708" i="1"/>
  <c r="J708" i="1"/>
  <c r="K708" i="1"/>
  <c r="L708" i="1"/>
  <c r="M708" i="1"/>
  <c r="A709" i="1"/>
  <c r="B709" i="1"/>
  <c r="C709" i="1"/>
  <c r="D709" i="1"/>
  <c r="E709" i="1"/>
  <c r="F709" i="1"/>
  <c r="G709" i="1"/>
  <c r="H709" i="1"/>
  <c r="I709" i="1"/>
  <c r="J709" i="1"/>
  <c r="K709" i="1"/>
  <c r="L709" i="1"/>
  <c r="M709" i="1"/>
  <c r="A710" i="1"/>
  <c r="B710" i="1"/>
  <c r="C710" i="1"/>
  <c r="D710" i="1"/>
  <c r="E710" i="1"/>
  <c r="F710" i="1"/>
  <c r="G710" i="1"/>
  <c r="H710" i="1"/>
  <c r="I710" i="1"/>
  <c r="J710" i="1"/>
  <c r="K710" i="1"/>
  <c r="L710" i="1"/>
  <c r="M710" i="1"/>
  <c r="A711" i="1"/>
  <c r="B711" i="1"/>
  <c r="C711" i="1"/>
  <c r="D711" i="1"/>
  <c r="E711" i="1"/>
  <c r="F711" i="1"/>
  <c r="G711" i="1"/>
  <c r="H711" i="1"/>
  <c r="I711" i="1"/>
  <c r="J711" i="1"/>
  <c r="K711" i="1"/>
  <c r="L711" i="1"/>
  <c r="M711" i="1"/>
  <c r="A712" i="1"/>
  <c r="B712" i="1"/>
  <c r="C712" i="1"/>
  <c r="D712" i="1"/>
  <c r="E712" i="1"/>
  <c r="F712" i="1"/>
  <c r="G712" i="1"/>
  <c r="H712" i="1"/>
  <c r="I712" i="1"/>
  <c r="J712" i="1"/>
  <c r="K712" i="1"/>
  <c r="L712" i="1"/>
  <c r="M712" i="1"/>
  <c r="A713" i="1"/>
  <c r="B713" i="1"/>
  <c r="C713" i="1"/>
  <c r="D713" i="1"/>
  <c r="E713" i="1"/>
  <c r="F713" i="1"/>
  <c r="G713" i="1"/>
  <c r="H713" i="1"/>
  <c r="I713" i="1"/>
  <c r="J713" i="1"/>
  <c r="K713" i="1"/>
  <c r="L713" i="1"/>
  <c r="M713" i="1"/>
  <c r="A714" i="1"/>
  <c r="B714" i="1"/>
  <c r="C714" i="1"/>
  <c r="D714" i="1"/>
  <c r="E714" i="1"/>
  <c r="F714" i="1"/>
  <c r="G714" i="1"/>
  <c r="H714" i="1"/>
  <c r="I714" i="1"/>
  <c r="J714" i="1"/>
  <c r="K714" i="1"/>
  <c r="L714" i="1"/>
  <c r="M714" i="1"/>
  <c r="A715" i="1"/>
  <c r="B715" i="1"/>
  <c r="C715" i="1"/>
  <c r="D715" i="1"/>
  <c r="E715" i="1"/>
  <c r="F715" i="1"/>
  <c r="G715" i="1"/>
  <c r="H715" i="1"/>
  <c r="I715" i="1"/>
  <c r="J715" i="1"/>
  <c r="K715" i="1"/>
  <c r="L715" i="1"/>
  <c r="M715" i="1"/>
  <c r="A716" i="1"/>
  <c r="B716" i="1"/>
  <c r="C716" i="1"/>
  <c r="D716" i="1"/>
  <c r="E716" i="1"/>
  <c r="F716" i="1"/>
  <c r="G716" i="1"/>
  <c r="H716" i="1"/>
  <c r="I716" i="1"/>
  <c r="J716" i="1"/>
  <c r="K716" i="1"/>
  <c r="L716" i="1"/>
  <c r="M716" i="1"/>
  <c r="A717" i="1"/>
  <c r="B717" i="1"/>
  <c r="C717" i="1"/>
  <c r="D717" i="1"/>
  <c r="E717" i="1"/>
  <c r="F717" i="1"/>
  <c r="G717" i="1"/>
  <c r="H717" i="1"/>
  <c r="I717" i="1"/>
  <c r="J717" i="1"/>
  <c r="K717" i="1"/>
  <c r="L717" i="1"/>
  <c r="M717" i="1"/>
  <c r="A718" i="1"/>
  <c r="B718" i="1"/>
  <c r="C718" i="1"/>
  <c r="D718" i="1"/>
  <c r="E718" i="1"/>
  <c r="F718" i="1"/>
  <c r="G718" i="1"/>
  <c r="H718" i="1"/>
  <c r="I718" i="1"/>
  <c r="J718" i="1"/>
  <c r="K718" i="1"/>
  <c r="L718" i="1"/>
  <c r="M718" i="1"/>
  <c r="A719" i="1"/>
  <c r="B719" i="1"/>
  <c r="C719" i="1"/>
  <c r="D719" i="1"/>
  <c r="E719" i="1"/>
  <c r="F719" i="1"/>
  <c r="G719" i="1"/>
  <c r="H719" i="1"/>
  <c r="I719" i="1"/>
  <c r="J719" i="1"/>
  <c r="K719" i="1"/>
  <c r="L719" i="1"/>
  <c r="M719" i="1"/>
  <c r="A720" i="1"/>
  <c r="B720" i="1"/>
  <c r="C720" i="1"/>
  <c r="D720" i="1"/>
  <c r="E720" i="1"/>
  <c r="F720" i="1"/>
  <c r="G720" i="1"/>
  <c r="H720" i="1"/>
  <c r="I720" i="1"/>
  <c r="J720" i="1"/>
  <c r="K720" i="1"/>
  <c r="L720" i="1"/>
  <c r="M720" i="1"/>
  <c r="A721" i="1"/>
  <c r="B721" i="1"/>
  <c r="C721" i="1"/>
  <c r="D721" i="1"/>
  <c r="E721" i="1"/>
  <c r="F721" i="1"/>
  <c r="G721" i="1"/>
  <c r="H721" i="1"/>
  <c r="I721" i="1"/>
  <c r="J721" i="1"/>
  <c r="K721" i="1"/>
  <c r="L721" i="1"/>
  <c r="M721" i="1"/>
  <c r="A722" i="1"/>
  <c r="B722" i="1"/>
  <c r="C722" i="1"/>
  <c r="D722" i="1"/>
  <c r="E722" i="1"/>
  <c r="F722" i="1"/>
  <c r="G722" i="1"/>
  <c r="H722" i="1"/>
  <c r="I722" i="1"/>
  <c r="J722" i="1"/>
  <c r="K722" i="1"/>
  <c r="L722" i="1"/>
  <c r="M722" i="1"/>
  <c r="A723" i="1"/>
  <c r="B723" i="1"/>
  <c r="C723" i="1"/>
  <c r="D723" i="1"/>
  <c r="E723" i="1"/>
  <c r="F723" i="1"/>
  <c r="G723" i="1"/>
  <c r="H723" i="1"/>
  <c r="I723" i="1"/>
  <c r="J723" i="1"/>
  <c r="K723" i="1"/>
  <c r="L723" i="1"/>
  <c r="M723" i="1"/>
  <c r="A724" i="1"/>
  <c r="B724" i="1"/>
  <c r="C724" i="1"/>
  <c r="D724" i="1"/>
  <c r="E724" i="1"/>
  <c r="F724" i="1"/>
  <c r="G724" i="1"/>
  <c r="H724" i="1"/>
  <c r="I724" i="1"/>
  <c r="J724" i="1"/>
  <c r="K724" i="1"/>
  <c r="L724" i="1"/>
  <c r="M724" i="1"/>
  <c r="A725" i="1"/>
  <c r="B725" i="1"/>
  <c r="C725" i="1"/>
  <c r="D725" i="1"/>
  <c r="E725" i="1"/>
  <c r="F725" i="1"/>
  <c r="G725" i="1"/>
  <c r="H725" i="1"/>
  <c r="I725" i="1"/>
  <c r="J725" i="1"/>
  <c r="K725" i="1"/>
  <c r="L725" i="1"/>
  <c r="M725" i="1"/>
  <c r="A726" i="1"/>
  <c r="B726" i="1"/>
  <c r="C726" i="1"/>
  <c r="D726" i="1"/>
  <c r="E726" i="1"/>
  <c r="F726" i="1"/>
  <c r="G726" i="1"/>
  <c r="H726" i="1"/>
  <c r="I726" i="1"/>
  <c r="J726" i="1"/>
  <c r="K726" i="1"/>
  <c r="L726" i="1"/>
  <c r="M726" i="1"/>
  <c r="A727" i="1"/>
  <c r="B727" i="1"/>
  <c r="C727" i="1"/>
  <c r="D727" i="1"/>
  <c r="E727" i="1"/>
  <c r="F727" i="1"/>
  <c r="G727" i="1"/>
  <c r="H727" i="1"/>
  <c r="I727" i="1"/>
  <c r="J727" i="1"/>
  <c r="K727" i="1"/>
  <c r="L727" i="1"/>
  <c r="M727" i="1"/>
  <c r="A728" i="1"/>
  <c r="B728" i="1"/>
  <c r="C728" i="1"/>
  <c r="D728" i="1"/>
  <c r="E728" i="1"/>
  <c r="F728" i="1"/>
  <c r="G728" i="1"/>
  <c r="H728" i="1"/>
  <c r="I728" i="1"/>
  <c r="J728" i="1"/>
  <c r="K728" i="1"/>
  <c r="L728" i="1"/>
  <c r="M728" i="1"/>
  <c r="A729" i="1"/>
  <c r="B729" i="1"/>
  <c r="C729" i="1"/>
  <c r="D729" i="1"/>
  <c r="E729" i="1"/>
  <c r="F729" i="1"/>
  <c r="G729" i="1"/>
  <c r="H729" i="1"/>
  <c r="I729" i="1"/>
  <c r="J729" i="1"/>
  <c r="K729" i="1"/>
  <c r="L729" i="1"/>
  <c r="M729" i="1"/>
  <c r="A730" i="1"/>
  <c r="B730" i="1"/>
  <c r="C730" i="1"/>
  <c r="D730" i="1"/>
  <c r="E730" i="1"/>
  <c r="F730" i="1"/>
  <c r="G730" i="1"/>
  <c r="H730" i="1"/>
  <c r="I730" i="1"/>
  <c r="J730" i="1"/>
  <c r="K730" i="1"/>
  <c r="L730" i="1"/>
  <c r="M730" i="1"/>
  <c r="A731" i="1"/>
  <c r="B731" i="1"/>
  <c r="C731" i="1"/>
  <c r="D731" i="1"/>
  <c r="E731" i="1"/>
  <c r="F731" i="1"/>
  <c r="G731" i="1"/>
  <c r="H731" i="1"/>
  <c r="I731" i="1"/>
  <c r="J731" i="1"/>
  <c r="K731" i="1"/>
  <c r="L731" i="1"/>
  <c r="M731" i="1"/>
  <c r="A732" i="1"/>
  <c r="B732" i="1"/>
  <c r="C732" i="1"/>
  <c r="D732" i="1"/>
  <c r="E732" i="1"/>
  <c r="F732" i="1"/>
  <c r="G732" i="1"/>
  <c r="H732" i="1"/>
  <c r="I732" i="1"/>
  <c r="J732" i="1"/>
  <c r="K732" i="1"/>
  <c r="L732" i="1"/>
  <c r="M732" i="1"/>
  <c r="A733" i="1"/>
  <c r="B733" i="1"/>
  <c r="C733" i="1"/>
  <c r="D733" i="1"/>
  <c r="E733" i="1"/>
  <c r="F733" i="1"/>
  <c r="G733" i="1"/>
  <c r="H733" i="1"/>
  <c r="I733" i="1"/>
  <c r="J733" i="1"/>
  <c r="K733" i="1"/>
  <c r="L733" i="1"/>
  <c r="M733" i="1"/>
  <c r="A734" i="1"/>
  <c r="B734" i="1"/>
  <c r="C734" i="1"/>
  <c r="D734" i="1"/>
  <c r="E734" i="1"/>
  <c r="F734" i="1"/>
  <c r="G734" i="1"/>
  <c r="H734" i="1"/>
  <c r="I734" i="1"/>
  <c r="J734" i="1"/>
  <c r="K734" i="1"/>
  <c r="L734" i="1"/>
  <c r="M734" i="1"/>
  <c r="A735" i="1"/>
  <c r="B735" i="1"/>
  <c r="C735" i="1"/>
  <c r="D735" i="1"/>
  <c r="E735" i="1"/>
  <c r="F735" i="1"/>
  <c r="G735" i="1"/>
  <c r="H735" i="1"/>
  <c r="I735" i="1"/>
  <c r="J735" i="1"/>
  <c r="K735" i="1"/>
  <c r="L735" i="1"/>
  <c r="M735" i="1"/>
  <c r="A736" i="1"/>
  <c r="B736" i="1"/>
  <c r="C736" i="1"/>
  <c r="D736" i="1"/>
  <c r="E736" i="1"/>
  <c r="F736" i="1"/>
  <c r="G736" i="1"/>
  <c r="H736" i="1"/>
  <c r="I736" i="1"/>
  <c r="J736" i="1"/>
  <c r="K736" i="1"/>
  <c r="L736" i="1"/>
  <c r="M736" i="1"/>
  <c r="A737" i="1"/>
  <c r="B737" i="1"/>
  <c r="C737" i="1"/>
  <c r="D737" i="1"/>
  <c r="E737" i="1"/>
  <c r="F737" i="1"/>
  <c r="G737" i="1"/>
  <c r="H737" i="1"/>
  <c r="I737" i="1"/>
  <c r="J737" i="1"/>
  <c r="K737" i="1"/>
  <c r="L737" i="1"/>
  <c r="M737" i="1"/>
  <c r="A738" i="1"/>
  <c r="B738" i="1"/>
  <c r="C738" i="1"/>
  <c r="D738" i="1"/>
  <c r="E738" i="1"/>
  <c r="F738" i="1"/>
  <c r="G738" i="1"/>
  <c r="H738" i="1"/>
  <c r="I738" i="1"/>
  <c r="J738" i="1"/>
  <c r="K738" i="1"/>
  <c r="L738" i="1"/>
  <c r="M738" i="1"/>
  <c r="A739" i="1"/>
  <c r="B739" i="1"/>
  <c r="C739" i="1"/>
  <c r="D739" i="1"/>
  <c r="E739" i="1"/>
  <c r="F739" i="1"/>
  <c r="G739" i="1"/>
  <c r="H739" i="1"/>
  <c r="I739" i="1"/>
  <c r="J739" i="1"/>
  <c r="K739" i="1"/>
  <c r="L739" i="1"/>
  <c r="M739" i="1"/>
  <c r="A740" i="1"/>
  <c r="B740" i="1"/>
  <c r="C740" i="1"/>
  <c r="D740" i="1"/>
  <c r="E740" i="1"/>
  <c r="F740" i="1"/>
  <c r="G740" i="1"/>
  <c r="H740" i="1"/>
  <c r="I740" i="1"/>
  <c r="J740" i="1"/>
  <c r="K740" i="1"/>
  <c r="L740" i="1"/>
  <c r="M740" i="1"/>
  <c r="A741" i="1"/>
  <c r="B741" i="1"/>
  <c r="C741" i="1"/>
  <c r="D741" i="1"/>
  <c r="E741" i="1"/>
  <c r="F741" i="1"/>
  <c r="G741" i="1"/>
  <c r="H741" i="1"/>
  <c r="I741" i="1"/>
  <c r="J741" i="1"/>
  <c r="K741" i="1"/>
  <c r="L741" i="1"/>
  <c r="M741" i="1"/>
  <c r="A742" i="1"/>
  <c r="B742" i="1"/>
  <c r="C742" i="1"/>
  <c r="D742" i="1"/>
  <c r="E742" i="1"/>
  <c r="F742" i="1"/>
  <c r="G742" i="1"/>
  <c r="H742" i="1"/>
  <c r="I742" i="1"/>
  <c r="J742" i="1"/>
  <c r="K742" i="1"/>
  <c r="L742" i="1"/>
  <c r="M742" i="1"/>
  <c r="A743" i="1"/>
  <c r="B743" i="1"/>
  <c r="C743" i="1"/>
  <c r="D743" i="1"/>
  <c r="E743" i="1"/>
  <c r="F743" i="1"/>
  <c r="G743" i="1"/>
  <c r="H743" i="1"/>
  <c r="I743" i="1"/>
  <c r="J743" i="1"/>
  <c r="K743" i="1"/>
  <c r="L743" i="1"/>
  <c r="M743" i="1"/>
  <c r="A744" i="1"/>
  <c r="B744" i="1"/>
  <c r="C744" i="1"/>
  <c r="D744" i="1"/>
  <c r="E744" i="1"/>
  <c r="F744" i="1"/>
  <c r="G744" i="1"/>
  <c r="H744" i="1"/>
  <c r="I744" i="1"/>
  <c r="J744" i="1"/>
  <c r="K744" i="1"/>
  <c r="L744" i="1"/>
  <c r="M744" i="1"/>
  <c r="A745" i="1"/>
  <c r="B745" i="1"/>
  <c r="C745" i="1"/>
  <c r="D745" i="1"/>
  <c r="E745" i="1"/>
  <c r="F745" i="1"/>
  <c r="G745" i="1"/>
  <c r="H745" i="1"/>
  <c r="I745" i="1"/>
  <c r="J745" i="1"/>
  <c r="K745" i="1"/>
  <c r="L745" i="1"/>
  <c r="M745" i="1"/>
  <c r="A746" i="1"/>
  <c r="B746" i="1"/>
  <c r="C746" i="1"/>
  <c r="D746" i="1"/>
  <c r="E746" i="1"/>
  <c r="F746" i="1"/>
  <c r="G746" i="1"/>
  <c r="H746" i="1"/>
  <c r="I746" i="1"/>
  <c r="J746" i="1"/>
  <c r="K746" i="1"/>
  <c r="L746" i="1"/>
  <c r="M746" i="1"/>
  <c r="A747" i="1"/>
  <c r="B747" i="1"/>
  <c r="C747" i="1"/>
  <c r="D747" i="1"/>
  <c r="E747" i="1"/>
  <c r="F747" i="1"/>
  <c r="G747" i="1"/>
  <c r="H747" i="1"/>
  <c r="I747" i="1"/>
  <c r="J747" i="1"/>
  <c r="K747" i="1"/>
  <c r="L747" i="1"/>
  <c r="M747" i="1"/>
  <c r="A748" i="1"/>
  <c r="B748" i="1"/>
  <c r="C748" i="1"/>
  <c r="D748" i="1"/>
  <c r="E748" i="1"/>
  <c r="F748" i="1"/>
  <c r="G748" i="1"/>
  <c r="H748" i="1"/>
  <c r="I748" i="1"/>
  <c r="J748" i="1"/>
  <c r="K748" i="1"/>
  <c r="L748" i="1"/>
  <c r="M748" i="1"/>
  <c r="A749" i="1"/>
  <c r="B749" i="1"/>
  <c r="C749" i="1"/>
  <c r="D749" i="1"/>
  <c r="E749" i="1"/>
  <c r="F749" i="1"/>
  <c r="G749" i="1"/>
  <c r="H749" i="1"/>
  <c r="I749" i="1"/>
  <c r="J749" i="1"/>
  <c r="K749" i="1"/>
  <c r="L749" i="1"/>
  <c r="M749" i="1"/>
  <c r="A750" i="1"/>
  <c r="B750" i="1"/>
  <c r="C750" i="1"/>
  <c r="D750" i="1"/>
  <c r="E750" i="1"/>
  <c r="F750" i="1"/>
  <c r="G750" i="1"/>
  <c r="H750" i="1"/>
  <c r="I750" i="1"/>
  <c r="J750" i="1"/>
  <c r="K750" i="1"/>
  <c r="L750" i="1"/>
  <c r="M750" i="1"/>
  <c r="A751" i="1"/>
  <c r="B751" i="1"/>
  <c r="C751" i="1"/>
  <c r="D751" i="1"/>
  <c r="E751" i="1"/>
  <c r="F751" i="1"/>
  <c r="G751" i="1"/>
  <c r="H751" i="1"/>
  <c r="I751" i="1"/>
  <c r="J751" i="1"/>
  <c r="K751" i="1"/>
  <c r="L751" i="1"/>
  <c r="M751" i="1"/>
  <c r="A752" i="1"/>
  <c r="B752" i="1"/>
  <c r="C752" i="1"/>
  <c r="D752" i="1"/>
  <c r="E752" i="1"/>
  <c r="F752" i="1"/>
  <c r="G752" i="1"/>
  <c r="H752" i="1"/>
  <c r="I752" i="1"/>
  <c r="J752" i="1"/>
  <c r="K752" i="1"/>
  <c r="L752" i="1"/>
  <c r="M752" i="1"/>
  <c r="A753" i="1"/>
  <c r="B753" i="1"/>
  <c r="C753" i="1"/>
  <c r="D753" i="1"/>
  <c r="E753" i="1"/>
  <c r="F753" i="1"/>
  <c r="G753" i="1"/>
  <c r="H753" i="1"/>
  <c r="I753" i="1"/>
  <c r="J753" i="1"/>
  <c r="K753" i="1"/>
  <c r="L753" i="1"/>
  <c r="M753" i="1"/>
  <c r="A754" i="1"/>
  <c r="B754" i="1"/>
  <c r="C754" i="1"/>
  <c r="D754" i="1"/>
  <c r="E754" i="1"/>
  <c r="F754" i="1"/>
  <c r="G754" i="1"/>
  <c r="H754" i="1"/>
  <c r="I754" i="1"/>
  <c r="J754" i="1"/>
  <c r="K754" i="1"/>
  <c r="L754" i="1"/>
  <c r="M754" i="1"/>
  <c r="A755" i="1"/>
  <c r="B755" i="1"/>
  <c r="C755" i="1"/>
  <c r="D755" i="1"/>
  <c r="E755" i="1"/>
  <c r="F755" i="1"/>
  <c r="G755" i="1"/>
  <c r="H755" i="1"/>
  <c r="I755" i="1"/>
  <c r="J755" i="1"/>
  <c r="K755" i="1"/>
  <c r="L755" i="1"/>
  <c r="M755" i="1"/>
  <c r="A756" i="1"/>
  <c r="B756" i="1"/>
  <c r="C756" i="1"/>
  <c r="D756" i="1"/>
  <c r="E756" i="1"/>
  <c r="F756" i="1"/>
  <c r="G756" i="1"/>
  <c r="H756" i="1"/>
  <c r="I756" i="1"/>
  <c r="J756" i="1"/>
  <c r="K756" i="1"/>
  <c r="L756" i="1"/>
  <c r="M756" i="1"/>
  <c r="A757" i="1"/>
  <c r="B757" i="1"/>
  <c r="C757" i="1"/>
  <c r="D757" i="1"/>
  <c r="E757" i="1"/>
  <c r="F757" i="1"/>
  <c r="G757" i="1"/>
  <c r="H757" i="1"/>
  <c r="I757" i="1"/>
  <c r="J757" i="1"/>
  <c r="K757" i="1"/>
  <c r="L757" i="1"/>
  <c r="M757" i="1"/>
  <c r="A758" i="1"/>
  <c r="B758" i="1"/>
  <c r="C758" i="1"/>
  <c r="D758" i="1"/>
  <c r="E758" i="1"/>
  <c r="F758" i="1"/>
  <c r="G758" i="1"/>
  <c r="H758" i="1"/>
  <c r="I758" i="1"/>
  <c r="J758" i="1"/>
  <c r="K758" i="1"/>
  <c r="L758" i="1"/>
  <c r="M758" i="1"/>
  <c r="A759" i="1"/>
  <c r="B759" i="1"/>
  <c r="C759" i="1"/>
  <c r="D759" i="1"/>
  <c r="E759" i="1"/>
  <c r="F759" i="1"/>
  <c r="G759" i="1"/>
  <c r="H759" i="1"/>
  <c r="I759" i="1"/>
  <c r="J759" i="1"/>
  <c r="K759" i="1"/>
  <c r="L759" i="1"/>
  <c r="M759" i="1"/>
  <c r="A760" i="1"/>
  <c r="B760" i="1"/>
  <c r="C760" i="1"/>
  <c r="D760" i="1"/>
  <c r="E760" i="1"/>
  <c r="F760" i="1"/>
  <c r="G760" i="1"/>
  <c r="H760" i="1"/>
  <c r="I760" i="1"/>
  <c r="J760" i="1"/>
  <c r="K760" i="1"/>
  <c r="L760" i="1"/>
  <c r="M760" i="1"/>
  <c r="A761" i="1"/>
  <c r="B761" i="1"/>
  <c r="C761" i="1"/>
  <c r="D761" i="1"/>
  <c r="E761" i="1"/>
  <c r="F761" i="1"/>
  <c r="G761" i="1"/>
  <c r="H761" i="1"/>
  <c r="I761" i="1"/>
  <c r="J761" i="1"/>
  <c r="K761" i="1"/>
  <c r="L761" i="1"/>
  <c r="M761" i="1"/>
  <c r="A762" i="1"/>
  <c r="B762" i="1"/>
  <c r="C762" i="1"/>
  <c r="D762" i="1"/>
  <c r="E762" i="1"/>
  <c r="F762" i="1"/>
  <c r="G762" i="1"/>
  <c r="H762" i="1"/>
  <c r="I762" i="1"/>
  <c r="J762" i="1"/>
  <c r="K762" i="1"/>
  <c r="L762" i="1"/>
  <c r="M762" i="1"/>
  <c r="A763" i="1"/>
  <c r="B763" i="1"/>
  <c r="C763" i="1"/>
  <c r="D763" i="1"/>
  <c r="E763" i="1"/>
  <c r="F763" i="1"/>
  <c r="G763" i="1"/>
  <c r="H763" i="1"/>
  <c r="I763" i="1"/>
  <c r="J763" i="1"/>
  <c r="K763" i="1"/>
  <c r="L763" i="1"/>
  <c r="M763" i="1"/>
  <c r="A764" i="1"/>
  <c r="B764" i="1"/>
  <c r="C764" i="1"/>
  <c r="D764" i="1"/>
  <c r="E764" i="1"/>
  <c r="F764" i="1"/>
  <c r="G764" i="1"/>
  <c r="H764" i="1"/>
  <c r="I764" i="1"/>
  <c r="J764" i="1"/>
  <c r="K764" i="1"/>
  <c r="L764" i="1"/>
  <c r="M764" i="1"/>
  <c r="A765" i="1"/>
  <c r="B765" i="1"/>
  <c r="C765" i="1"/>
  <c r="D765" i="1"/>
  <c r="E765" i="1"/>
  <c r="F765" i="1"/>
  <c r="G765" i="1"/>
  <c r="H765" i="1"/>
  <c r="I765" i="1"/>
  <c r="J765" i="1"/>
  <c r="K765" i="1"/>
  <c r="L765" i="1"/>
  <c r="M765" i="1"/>
  <c r="A766" i="1"/>
  <c r="B766" i="1"/>
  <c r="C766" i="1"/>
  <c r="D766" i="1"/>
  <c r="E766" i="1"/>
  <c r="F766" i="1"/>
  <c r="G766" i="1"/>
  <c r="H766" i="1"/>
  <c r="I766" i="1"/>
  <c r="J766" i="1"/>
  <c r="K766" i="1"/>
  <c r="L766" i="1"/>
  <c r="M766" i="1"/>
  <c r="A767" i="1"/>
  <c r="B767" i="1"/>
  <c r="C767" i="1"/>
  <c r="D767" i="1"/>
  <c r="E767" i="1"/>
  <c r="F767" i="1"/>
  <c r="G767" i="1"/>
  <c r="H767" i="1"/>
  <c r="I767" i="1"/>
  <c r="J767" i="1"/>
  <c r="K767" i="1"/>
  <c r="L767" i="1"/>
  <c r="M767" i="1"/>
  <c r="A768" i="1"/>
  <c r="B768" i="1"/>
  <c r="C768" i="1"/>
  <c r="D768" i="1"/>
  <c r="E768" i="1"/>
  <c r="F768" i="1"/>
  <c r="G768" i="1"/>
  <c r="H768" i="1"/>
  <c r="I768" i="1"/>
  <c r="J768" i="1"/>
  <c r="K768" i="1"/>
  <c r="L768" i="1"/>
  <c r="M768" i="1"/>
  <c r="A769" i="1"/>
  <c r="B769" i="1"/>
  <c r="C769" i="1"/>
  <c r="D769" i="1"/>
  <c r="E769" i="1"/>
  <c r="F769" i="1"/>
  <c r="G769" i="1"/>
  <c r="H769" i="1"/>
  <c r="I769" i="1"/>
  <c r="J769" i="1"/>
  <c r="K769" i="1"/>
  <c r="L769" i="1"/>
  <c r="M769" i="1"/>
  <c r="A770" i="1"/>
  <c r="B770" i="1"/>
  <c r="C770" i="1"/>
  <c r="D770" i="1"/>
  <c r="E770" i="1"/>
  <c r="F770" i="1"/>
  <c r="G770" i="1"/>
  <c r="H770" i="1"/>
  <c r="I770" i="1"/>
  <c r="J770" i="1"/>
  <c r="K770" i="1"/>
  <c r="L770" i="1"/>
  <c r="M770" i="1"/>
  <c r="A771" i="1"/>
  <c r="B771" i="1"/>
  <c r="C771" i="1"/>
  <c r="D771" i="1"/>
  <c r="E771" i="1"/>
  <c r="F771" i="1"/>
  <c r="G771" i="1"/>
  <c r="H771" i="1"/>
  <c r="I771" i="1"/>
  <c r="J771" i="1"/>
  <c r="K771" i="1"/>
  <c r="L771" i="1"/>
  <c r="M771" i="1"/>
  <c r="A772" i="1"/>
  <c r="B772" i="1"/>
  <c r="C772" i="1"/>
  <c r="D772" i="1"/>
  <c r="E772" i="1"/>
  <c r="F772" i="1"/>
  <c r="G772" i="1"/>
  <c r="H772" i="1"/>
  <c r="I772" i="1"/>
  <c r="J772" i="1"/>
  <c r="K772" i="1"/>
  <c r="L772" i="1"/>
  <c r="M772" i="1"/>
  <c r="A773" i="1"/>
  <c r="B773" i="1"/>
  <c r="C773" i="1"/>
  <c r="D773" i="1"/>
  <c r="E773" i="1"/>
  <c r="F773" i="1"/>
  <c r="G773" i="1"/>
  <c r="H773" i="1"/>
  <c r="I773" i="1"/>
  <c r="J773" i="1"/>
  <c r="K773" i="1"/>
  <c r="L773" i="1"/>
  <c r="M773" i="1"/>
  <c r="A774" i="1"/>
  <c r="B774" i="1"/>
  <c r="C774" i="1"/>
  <c r="D774" i="1"/>
  <c r="E774" i="1"/>
  <c r="F774" i="1"/>
  <c r="G774" i="1"/>
  <c r="H774" i="1"/>
  <c r="I774" i="1"/>
  <c r="J774" i="1"/>
  <c r="K774" i="1"/>
  <c r="L774" i="1"/>
  <c r="M774" i="1"/>
  <c r="A775" i="1"/>
  <c r="B775" i="1"/>
  <c r="C775" i="1"/>
  <c r="D775" i="1"/>
  <c r="E775" i="1"/>
  <c r="F775" i="1"/>
  <c r="G775" i="1"/>
  <c r="H775" i="1"/>
  <c r="I775" i="1"/>
  <c r="J775" i="1"/>
  <c r="K775" i="1"/>
  <c r="L775" i="1"/>
  <c r="M775" i="1"/>
  <c r="A776" i="1"/>
  <c r="B776" i="1"/>
  <c r="C776" i="1"/>
  <c r="D776" i="1"/>
  <c r="E776" i="1"/>
  <c r="F776" i="1"/>
  <c r="G776" i="1"/>
  <c r="H776" i="1"/>
  <c r="I776" i="1"/>
  <c r="J776" i="1"/>
  <c r="K776" i="1"/>
  <c r="L776" i="1"/>
  <c r="M776" i="1"/>
  <c r="A777" i="1"/>
  <c r="B777" i="1"/>
  <c r="C777" i="1"/>
  <c r="D777" i="1"/>
  <c r="E777" i="1"/>
  <c r="F777" i="1"/>
  <c r="G777" i="1"/>
  <c r="H777" i="1"/>
  <c r="I777" i="1"/>
  <c r="J777" i="1"/>
  <c r="K777" i="1"/>
  <c r="L777" i="1"/>
  <c r="M777" i="1"/>
  <c r="A778" i="1"/>
  <c r="B778" i="1"/>
  <c r="C778" i="1"/>
  <c r="D778" i="1"/>
  <c r="E778" i="1"/>
  <c r="F778" i="1"/>
  <c r="G778" i="1"/>
  <c r="H778" i="1"/>
  <c r="I778" i="1"/>
  <c r="J778" i="1"/>
  <c r="K778" i="1"/>
  <c r="L778" i="1"/>
  <c r="M778" i="1"/>
  <c r="A779" i="1"/>
  <c r="B779" i="1"/>
  <c r="C779" i="1"/>
  <c r="D779" i="1"/>
  <c r="E779" i="1"/>
  <c r="F779" i="1"/>
  <c r="G779" i="1"/>
  <c r="H779" i="1"/>
  <c r="I779" i="1"/>
  <c r="J779" i="1"/>
  <c r="K779" i="1"/>
  <c r="L779" i="1"/>
  <c r="M779" i="1"/>
  <c r="A780" i="1"/>
  <c r="B780" i="1"/>
  <c r="C780" i="1"/>
  <c r="D780" i="1"/>
  <c r="E780" i="1"/>
  <c r="F780" i="1"/>
  <c r="G780" i="1"/>
  <c r="H780" i="1"/>
  <c r="I780" i="1"/>
  <c r="J780" i="1"/>
  <c r="K780" i="1"/>
  <c r="L780" i="1"/>
  <c r="M780" i="1"/>
  <c r="A781" i="1"/>
  <c r="B781" i="1"/>
  <c r="C781" i="1"/>
  <c r="D781" i="1"/>
  <c r="E781" i="1"/>
  <c r="F781" i="1"/>
  <c r="G781" i="1"/>
  <c r="H781" i="1"/>
  <c r="I781" i="1"/>
  <c r="J781" i="1"/>
  <c r="K781" i="1"/>
  <c r="L781" i="1"/>
  <c r="M781" i="1"/>
  <c r="A782" i="1"/>
  <c r="B782" i="1"/>
  <c r="C782" i="1"/>
  <c r="D782" i="1"/>
  <c r="E782" i="1"/>
  <c r="F782" i="1"/>
  <c r="G782" i="1"/>
  <c r="H782" i="1"/>
  <c r="I782" i="1"/>
  <c r="J782" i="1"/>
  <c r="K782" i="1"/>
  <c r="L782" i="1"/>
  <c r="M782" i="1"/>
  <c r="A783" i="1"/>
  <c r="B783" i="1"/>
  <c r="C783" i="1"/>
  <c r="D783" i="1"/>
  <c r="E783" i="1"/>
  <c r="F783" i="1"/>
  <c r="G783" i="1"/>
  <c r="H783" i="1"/>
  <c r="I783" i="1"/>
  <c r="J783" i="1"/>
  <c r="K783" i="1"/>
  <c r="L783" i="1"/>
  <c r="M783" i="1"/>
  <c r="A784" i="1"/>
  <c r="B784" i="1"/>
  <c r="C784" i="1"/>
  <c r="D784" i="1"/>
  <c r="E784" i="1"/>
  <c r="F784" i="1"/>
  <c r="G784" i="1"/>
  <c r="H784" i="1"/>
  <c r="I784" i="1"/>
  <c r="J784" i="1"/>
  <c r="K784" i="1"/>
  <c r="L784" i="1"/>
  <c r="M784" i="1"/>
  <c r="A785" i="1"/>
  <c r="B785" i="1"/>
  <c r="C785" i="1"/>
  <c r="D785" i="1"/>
  <c r="E785" i="1"/>
  <c r="F785" i="1"/>
  <c r="G785" i="1"/>
  <c r="H785" i="1"/>
  <c r="I785" i="1"/>
  <c r="J785" i="1"/>
  <c r="K785" i="1"/>
  <c r="L785" i="1"/>
  <c r="M785" i="1"/>
  <c r="A786" i="1"/>
  <c r="B786" i="1"/>
  <c r="C786" i="1"/>
  <c r="D786" i="1"/>
  <c r="E786" i="1"/>
  <c r="F786" i="1"/>
  <c r="G786" i="1"/>
  <c r="H786" i="1"/>
  <c r="I786" i="1"/>
  <c r="J786" i="1"/>
  <c r="K786" i="1"/>
  <c r="L786" i="1"/>
  <c r="M786" i="1"/>
  <c r="A787" i="1"/>
  <c r="B787" i="1"/>
  <c r="C787" i="1"/>
  <c r="D787" i="1"/>
  <c r="E787" i="1"/>
  <c r="F787" i="1"/>
  <c r="G787" i="1"/>
  <c r="H787" i="1"/>
  <c r="I787" i="1"/>
  <c r="J787" i="1"/>
  <c r="K787" i="1"/>
  <c r="L787" i="1"/>
  <c r="M787" i="1"/>
  <c r="A788" i="1"/>
  <c r="B788" i="1"/>
  <c r="C788" i="1"/>
  <c r="D788" i="1"/>
  <c r="E788" i="1"/>
  <c r="F788" i="1"/>
  <c r="G788" i="1"/>
  <c r="H788" i="1"/>
  <c r="I788" i="1"/>
  <c r="J788" i="1"/>
  <c r="K788" i="1"/>
  <c r="L788" i="1"/>
  <c r="M788" i="1"/>
  <c r="A789" i="1"/>
  <c r="B789" i="1"/>
  <c r="C789" i="1"/>
  <c r="D789" i="1"/>
  <c r="E789" i="1"/>
  <c r="F789" i="1"/>
  <c r="G789" i="1"/>
  <c r="H789" i="1"/>
  <c r="I789" i="1"/>
  <c r="J789" i="1"/>
  <c r="K789" i="1"/>
  <c r="L789" i="1"/>
  <c r="M789" i="1"/>
  <c r="A790" i="1"/>
  <c r="B790" i="1"/>
  <c r="C790" i="1"/>
  <c r="D790" i="1"/>
  <c r="E790" i="1"/>
  <c r="F790" i="1"/>
  <c r="G790" i="1"/>
  <c r="H790" i="1"/>
  <c r="I790" i="1"/>
  <c r="J790" i="1"/>
  <c r="K790" i="1"/>
  <c r="L790" i="1"/>
  <c r="M790" i="1"/>
  <c r="A791" i="1"/>
  <c r="B791" i="1"/>
  <c r="C791" i="1"/>
  <c r="D791" i="1"/>
  <c r="E791" i="1"/>
  <c r="F791" i="1"/>
  <c r="G791" i="1"/>
  <c r="H791" i="1"/>
  <c r="I791" i="1"/>
  <c r="J791" i="1"/>
  <c r="K791" i="1"/>
  <c r="L791" i="1"/>
  <c r="M791" i="1"/>
  <c r="A792" i="1"/>
  <c r="B792" i="1"/>
  <c r="C792" i="1"/>
  <c r="D792" i="1"/>
  <c r="E792" i="1"/>
  <c r="F792" i="1"/>
  <c r="G792" i="1"/>
  <c r="H792" i="1"/>
  <c r="I792" i="1"/>
  <c r="J792" i="1"/>
  <c r="K792" i="1"/>
  <c r="L792" i="1"/>
  <c r="M792" i="1"/>
  <c r="A793" i="1"/>
  <c r="B793" i="1"/>
  <c r="C793" i="1"/>
  <c r="D793" i="1"/>
  <c r="E793" i="1"/>
  <c r="F793" i="1"/>
  <c r="G793" i="1"/>
  <c r="H793" i="1"/>
  <c r="I793" i="1"/>
  <c r="J793" i="1"/>
  <c r="K793" i="1"/>
  <c r="L793" i="1"/>
  <c r="M793" i="1"/>
  <c r="A794" i="1"/>
  <c r="B794" i="1"/>
  <c r="C794" i="1"/>
  <c r="D794" i="1"/>
  <c r="E794" i="1"/>
  <c r="F794" i="1"/>
  <c r="G794" i="1"/>
  <c r="H794" i="1"/>
  <c r="I794" i="1"/>
  <c r="J794" i="1"/>
  <c r="K794" i="1"/>
  <c r="L794" i="1"/>
  <c r="M794" i="1"/>
  <c r="A795" i="1"/>
  <c r="B795" i="1"/>
  <c r="C795" i="1"/>
  <c r="D795" i="1"/>
  <c r="E795" i="1"/>
  <c r="F795" i="1"/>
  <c r="G795" i="1"/>
  <c r="H795" i="1"/>
  <c r="I795" i="1"/>
  <c r="J795" i="1"/>
  <c r="K795" i="1"/>
  <c r="L795" i="1"/>
  <c r="M795" i="1"/>
  <c r="A796" i="1"/>
  <c r="B796" i="1"/>
  <c r="C796" i="1"/>
  <c r="D796" i="1"/>
  <c r="E796" i="1"/>
  <c r="F796" i="1"/>
  <c r="G796" i="1"/>
  <c r="H796" i="1"/>
  <c r="I796" i="1"/>
  <c r="J796" i="1"/>
  <c r="K796" i="1"/>
  <c r="L796" i="1"/>
  <c r="M796" i="1"/>
  <c r="A797" i="1"/>
  <c r="B797" i="1"/>
  <c r="C797" i="1"/>
  <c r="D797" i="1"/>
  <c r="E797" i="1"/>
  <c r="F797" i="1"/>
  <c r="G797" i="1"/>
  <c r="H797" i="1"/>
  <c r="I797" i="1"/>
  <c r="J797" i="1"/>
  <c r="K797" i="1"/>
  <c r="L797" i="1"/>
  <c r="M797" i="1"/>
  <c r="A798" i="1"/>
  <c r="B798" i="1"/>
  <c r="C798" i="1"/>
  <c r="D798" i="1"/>
  <c r="E798" i="1"/>
  <c r="F798" i="1"/>
  <c r="G798" i="1"/>
  <c r="H798" i="1"/>
  <c r="I798" i="1"/>
  <c r="J798" i="1"/>
  <c r="K798" i="1"/>
  <c r="L798" i="1"/>
  <c r="M798" i="1"/>
  <c r="A799" i="1"/>
  <c r="B799" i="1"/>
  <c r="C799" i="1"/>
  <c r="D799" i="1"/>
  <c r="E799" i="1"/>
  <c r="F799" i="1"/>
  <c r="G799" i="1"/>
  <c r="H799" i="1"/>
  <c r="I799" i="1"/>
  <c r="J799" i="1"/>
  <c r="K799" i="1"/>
  <c r="L799" i="1"/>
  <c r="M799" i="1"/>
  <c r="A800" i="1"/>
  <c r="B800" i="1"/>
  <c r="C800" i="1"/>
  <c r="D800" i="1"/>
  <c r="E800" i="1"/>
  <c r="F800" i="1"/>
  <c r="G800" i="1"/>
  <c r="H800" i="1"/>
  <c r="I800" i="1"/>
  <c r="J800" i="1"/>
  <c r="K800" i="1"/>
  <c r="L800" i="1"/>
  <c r="M800" i="1"/>
  <c r="A801" i="1"/>
  <c r="B801" i="1"/>
  <c r="C801" i="1"/>
  <c r="D801" i="1"/>
  <c r="E801" i="1"/>
  <c r="F801" i="1"/>
  <c r="G801" i="1"/>
  <c r="H801" i="1"/>
  <c r="I801" i="1"/>
  <c r="J801" i="1"/>
  <c r="K801" i="1"/>
  <c r="L801" i="1"/>
  <c r="M801" i="1"/>
  <c r="A802" i="1"/>
  <c r="B802" i="1"/>
  <c r="C802" i="1"/>
  <c r="D802" i="1"/>
  <c r="E802" i="1"/>
  <c r="F802" i="1"/>
  <c r="G802" i="1"/>
  <c r="H802" i="1"/>
  <c r="I802" i="1"/>
  <c r="J802" i="1"/>
  <c r="K802" i="1"/>
  <c r="L802" i="1"/>
  <c r="M802" i="1"/>
  <c r="A803" i="1"/>
  <c r="B803" i="1"/>
  <c r="C803" i="1"/>
  <c r="D803" i="1"/>
  <c r="E803" i="1"/>
  <c r="F803" i="1"/>
  <c r="G803" i="1"/>
  <c r="H803" i="1"/>
  <c r="I803" i="1"/>
  <c r="J803" i="1"/>
  <c r="K803" i="1"/>
  <c r="L803" i="1"/>
  <c r="M803" i="1"/>
  <c r="A804" i="1"/>
  <c r="B804" i="1"/>
  <c r="C804" i="1"/>
  <c r="D804" i="1"/>
  <c r="E804" i="1"/>
  <c r="F804" i="1"/>
  <c r="G804" i="1"/>
  <c r="H804" i="1"/>
  <c r="I804" i="1"/>
  <c r="J804" i="1"/>
  <c r="K804" i="1"/>
  <c r="L804" i="1"/>
  <c r="M804" i="1"/>
  <c r="A805" i="1"/>
  <c r="B805" i="1"/>
  <c r="C805" i="1"/>
  <c r="D805" i="1"/>
  <c r="E805" i="1"/>
  <c r="F805" i="1"/>
  <c r="G805" i="1"/>
  <c r="H805" i="1"/>
  <c r="I805" i="1"/>
  <c r="J805" i="1"/>
  <c r="K805" i="1"/>
  <c r="L805" i="1"/>
  <c r="M805" i="1"/>
  <c r="A806" i="1"/>
  <c r="B806" i="1"/>
  <c r="C806" i="1"/>
  <c r="D806" i="1"/>
  <c r="E806" i="1"/>
  <c r="F806" i="1"/>
  <c r="G806" i="1"/>
  <c r="H806" i="1"/>
  <c r="I806" i="1"/>
  <c r="J806" i="1"/>
  <c r="K806" i="1"/>
  <c r="L806" i="1"/>
  <c r="M806" i="1"/>
  <c r="A807" i="1"/>
  <c r="B807" i="1"/>
  <c r="C807" i="1"/>
  <c r="D807" i="1"/>
  <c r="E807" i="1"/>
  <c r="F807" i="1"/>
  <c r="G807" i="1"/>
  <c r="H807" i="1"/>
  <c r="I807" i="1"/>
  <c r="J807" i="1"/>
  <c r="K807" i="1"/>
  <c r="L807" i="1"/>
  <c r="M807" i="1"/>
  <c r="A808" i="1"/>
  <c r="B808" i="1"/>
  <c r="C808" i="1"/>
  <c r="D808" i="1"/>
  <c r="E808" i="1"/>
  <c r="F808" i="1"/>
  <c r="G808" i="1"/>
  <c r="H808" i="1"/>
  <c r="I808" i="1"/>
  <c r="J808" i="1"/>
  <c r="K808" i="1"/>
  <c r="L808" i="1"/>
  <c r="M808" i="1"/>
  <c r="A809" i="1"/>
  <c r="B809" i="1"/>
  <c r="C809" i="1"/>
  <c r="D809" i="1"/>
  <c r="E809" i="1"/>
  <c r="F809" i="1"/>
  <c r="G809" i="1"/>
  <c r="H809" i="1"/>
  <c r="I809" i="1"/>
  <c r="J809" i="1"/>
  <c r="K809" i="1"/>
  <c r="L809" i="1"/>
  <c r="M809" i="1"/>
  <c r="A810" i="1"/>
  <c r="B810" i="1"/>
  <c r="C810" i="1"/>
  <c r="D810" i="1"/>
  <c r="E810" i="1"/>
  <c r="F810" i="1"/>
  <c r="G810" i="1"/>
  <c r="H810" i="1"/>
  <c r="I810" i="1"/>
  <c r="J810" i="1"/>
  <c r="K810" i="1"/>
  <c r="L810" i="1"/>
  <c r="M810" i="1"/>
  <c r="A811" i="1"/>
  <c r="B811" i="1"/>
  <c r="C811" i="1"/>
  <c r="D811" i="1"/>
  <c r="E811" i="1"/>
  <c r="F811" i="1"/>
  <c r="G811" i="1"/>
  <c r="H811" i="1"/>
  <c r="I811" i="1"/>
  <c r="J811" i="1"/>
  <c r="K811" i="1"/>
  <c r="L811" i="1"/>
  <c r="M811" i="1"/>
  <c r="A812" i="1"/>
  <c r="B812" i="1"/>
  <c r="C812" i="1"/>
  <c r="D812" i="1"/>
  <c r="E812" i="1"/>
  <c r="F812" i="1"/>
  <c r="G812" i="1"/>
  <c r="H812" i="1"/>
  <c r="I812" i="1"/>
  <c r="J812" i="1"/>
  <c r="K812" i="1"/>
  <c r="L812" i="1"/>
  <c r="M812" i="1"/>
  <c r="A813" i="1"/>
  <c r="B813" i="1"/>
  <c r="C813" i="1"/>
  <c r="D813" i="1"/>
  <c r="E813" i="1"/>
  <c r="F813" i="1"/>
  <c r="G813" i="1"/>
  <c r="H813" i="1"/>
  <c r="I813" i="1"/>
  <c r="J813" i="1"/>
  <c r="K813" i="1"/>
  <c r="L813" i="1"/>
  <c r="M813" i="1"/>
  <c r="A814" i="1"/>
  <c r="B814" i="1"/>
  <c r="C814" i="1"/>
  <c r="D814" i="1"/>
  <c r="E814" i="1"/>
  <c r="F814" i="1"/>
  <c r="G814" i="1"/>
  <c r="H814" i="1"/>
  <c r="I814" i="1"/>
  <c r="J814" i="1"/>
  <c r="K814" i="1"/>
  <c r="L814" i="1"/>
  <c r="M814" i="1"/>
  <c r="A815" i="1"/>
  <c r="B815" i="1"/>
  <c r="C815" i="1"/>
  <c r="D815" i="1"/>
  <c r="E815" i="1"/>
  <c r="F815" i="1"/>
  <c r="G815" i="1"/>
  <c r="H815" i="1"/>
  <c r="I815" i="1"/>
  <c r="J815" i="1"/>
  <c r="K815" i="1"/>
  <c r="L815" i="1"/>
  <c r="M815" i="1"/>
  <c r="A816" i="1"/>
  <c r="B816" i="1"/>
  <c r="C816" i="1"/>
  <c r="D816" i="1"/>
  <c r="E816" i="1"/>
  <c r="F816" i="1"/>
  <c r="G816" i="1"/>
  <c r="H816" i="1"/>
  <c r="I816" i="1"/>
  <c r="J816" i="1"/>
  <c r="K816" i="1"/>
  <c r="L816" i="1"/>
  <c r="M816" i="1"/>
  <c r="A817" i="1"/>
  <c r="B817" i="1"/>
  <c r="C817" i="1"/>
  <c r="D817" i="1"/>
  <c r="E817" i="1"/>
  <c r="F817" i="1"/>
  <c r="G817" i="1"/>
  <c r="H817" i="1"/>
  <c r="I817" i="1"/>
  <c r="J817" i="1"/>
  <c r="K817" i="1"/>
  <c r="L817" i="1"/>
  <c r="M817" i="1"/>
  <c r="A818" i="1"/>
  <c r="B818" i="1"/>
  <c r="C818" i="1"/>
  <c r="D818" i="1"/>
  <c r="E818" i="1"/>
  <c r="F818" i="1"/>
  <c r="G818" i="1"/>
  <c r="H818" i="1"/>
  <c r="I818" i="1"/>
  <c r="J818" i="1"/>
  <c r="K818" i="1"/>
  <c r="L818" i="1"/>
  <c r="M818" i="1"/>
  <c r="A819" i="1"/>
  <c r="B819" i="1"/>
  <c r="C819" i="1"/>
  <c r="D819" i="1"/>
  <c r="E819" i="1"/>
  <c r="F819" i="1"/>
  <c r="G819" i="1"/>
  <c r="H819" i="1"/>
  <c r="I819" i="1"/>
  <c r="J819" i="1"/>
  <c r="K819" i="1"/>
  <c r="L819" i="1"/>
  <c r="M819" i="1"/>
  <c r="A820" i="1"/>
  <c r="B820" i="1"/>
  <c r="C820" i="1"/>
  <c r="D820" i="1"/>
  <c r="E820" i="1"/>
  <c r="F820" i="1"/>
  <c r="G820" i="1"/>
  <c r="H820" i="1"/>
  <c r="I820" i="1"/>
  <c r="J820" i="1"/>
  <c r="K820" i="1"/>
  <c r="L820" i="1"/>
  <c r="M820" i="1"/>
  <c r="A821" i="1"/>
  <c r="B821" i="1"/>
  <c r="C821" i="1"/>
  <c r="D821" i="1"/>
  <c r="E821" i="1"/>
  <c r="F821" i="1"/>
  <c r="G821" i="1"/>
  <c r="H821" i="1"/>
  <c r="I821" i="1"/>
  <c r="J821" i="1"/>
  <c r="K821" i="1"/>
  <c r="L821" i="1"/>
  <c r="M821" i="1"/>
  <c r="A822" i="1"/>
  <c r="B822" i="1"/>
  <c r="C822" i="1"/>
  <c r="D822" i="1"/>
  <c r="E822" i="1"/>
  <c r="F822" i="1"/>
  <c r="G822" i="1"/>
  <c r="H822" i="1"/>
  <c r="I822" i="1"/>
  <c r="J822" i="1"/>
  <c r="K822" i="1"/>
  <c r="L822" i="1"/>
  <c r="M822" i="1"/>
  <c r="A823" i="1"/>
  <c r="B823" i="1"/>
  <c r="C823" i="1"/>
  <c r="D823" i="1"/>
  <c r="E823" i="1"/>
  <c r="F823" i="1"/>
  <c r="G823" i="1"/>
  <c r="H823" i="1"/>
  <c r="I823" i="1"/>
  <c r="J823" i="1"/>
  <c r="K823" i="1"/>
  <c r="L823" i="1"/>
  <c r="M823" i="1"/>
  <c r="A824" i="1"/>
  <c r="B824" i="1"/>
  <c r="C824" i="1"/>
  <c r="D824" i="1"/>
  <c r="E824" i="1"/>
  <c r="F824" i="1"/>
  <c r="G824" i="1"/>
  <c r="H824" i="1"/>
  <c r="I824" i="1"/>
  <c r="J824" i="1"/>
  <c r="K824" i="1"/>
  <c r="L824" i="1"/>
  <c r="M824" i="1"/>
  <c r="A825" i="1"/>
  <c r="B825" i="1"/>
  <c r="C825" i="1"/>
  <c r="D825" i="1"/>
  <c r="E825" i="1"/>
  <c r="F825" i="1"/>
  <c r="G825" i="1"/>
  <c r="H825" i="1"/>
  <c r="I825" i="1"/>
  <c r="J825" i="1"/>
  <c r="K825" i="1"/>
  <c r="L825" i="1"/>
  <c r="M825" i="1"/>
  <c r="A826" i="1"/>
  <c r="B826" i="1"/>
  <c r="C826" i="1"/>
  <c r="D826" i="1"/>
  <c r="E826" i="1"/>
  <c r="F826" i="1"/>
  <c r="G826" i="1"/>
  <c r="H826" i="1"/>
  <c r="I826" i="1"/>
  <c r="J826" i="1"/>
  <c r="K826" i="1"/>
  <c r="L826" i="1"/>
  <c r="M826" i="1"/>
  <c r="A827" i="1"/>
  <c r="B827" i="1"/>
  <c r="C827" i="1"/>
  <c r="D827" i="1"/>
  <c r="E827" i="1"/>
  <c r="F827" i="1"/>
  <c r="G827" i="1"/>
  <c r="H827" i="1"/>
  <c r="I827" i="1"/>
  <c r="J827" i="1"/>
  <c r="K827" i="1"/>
  <c r="L827" i="1"/>
  <c r="M827" i="1"/>
  <c r="A828" i="1"/>
  <c r="B828" i="1"/>
  <c r="C828" i="1"/>
  <c r="D828" i="1"/>
  <c r="E828" i="1"/>
  <c r="F828" i="1"/>
  <c r="G828" i="1"/>
  <c r="H828" i="1"/>
  <c r="I828" i="1"/>
  <c r="J828" i="1"/>
  <c r="K828" i="1"/>
  <c r="L828" i="1"/>
  <c r="M828" i="1"/>
  <c r="A829" i="1"/>
  <c r="B829" i="1"/>
  <c r="C829" i="1"/>
  <c r="D829" i="1"/>
  <c r="E829" i="1"/>
  <c r="F829" i="1"/>
  <c r="G829" i="1"/>
  <c r="H829" i="1"/>
  <c r="I829" i="1"/>
  <c r="J829" i="1"/>
  <c r="K829" i="1"/>
  <c r="L829" i="1"/>
  <c r="M829" i="1"/>
  <c r="A830" i="1"/>
  <c r="B830" i="1"/>
  <c r="C830" i="1"/>
  <c r="D830" i="1"/>
  <c r="E830" i="1"/>
  <c r="F830" i="1"/>
  <c r="G830" i="1"/>
  <c r="H830" i="1"/>
  <c r="I830" i="1"/>
  <c r="J830" i="1"/>
  <c r="K830" i="1"/>
  <c r="L830" i="1"/>
  <c r="M830" i="1"/>
  <c r="A831" i="1"/>
  <c r="B831" i="1"/>
  <c r="C831" i="1"/>
  <c r="D831" i="1"/>
  <c r="E831" i="1"/>
  <c r="F831" i="1"/>
  <c r="G831" i="1"/>
  <c r="H831" i="1"/>
  <c r="I831" i="1"/>
  <c r="J831" i="1"/>
  <c r="K831" i="1"/>
  <c r="L831" i="1"/>
  <c r="M831" i="1"/>
  <c r="A832" i="1"/>
  <c r="B832" i="1"/>
  <c r="C832" i="1"/>
  <c r="D832" i="1"/>
  <c r="E832" i="1"/>
  <c r="F832" i="1"/>
  <c r="G832" i="1"/>
  <c r="H832" i="1"/>
  <c r="I832" i="1"/>
  <c r="J832" i="1"/>
  <c r="K832" i="1"/>
  <c r="L832" i="1"/>
  <c r="M832" i="1"/>
  <c r="A833" i="1"/>
  <c r="B833" i="1"/>
  <c r="C833" i="1"/>
  <c r="D833" i="1"/>
  <c r="E833" i="1"/>
  <c r="F833" i="1"/>
  <c r="G833" i="1"/>
  <c r="H833" i="1"/>
  <c r="I833" i="1"/>
  <c r="J833" i="1"/>
  <c r="K833" i="1"/>
  <c r="L833" i="1"/>
  <c r="M833" i="1"/>
  <c r="A834" i="1"/>
  <c r="B834" i="1"/>
  <c r="C834" i="1"/>
  <c r="D834" i="1"/>
  <c r="E834" i="1"/>
  <c r="F834" i="1"/>
  <c r="G834" i="1"/>
  <c r="H834" i="1"/>
  <c r="I834" i="1"/>
  <c r="J834" i="1"/>
  <c r="K834" i="1"/>
  <c r="L834" i="1"/>
  <c r="M834" i="1"/>
  <c r="A835" i="1"/>
  <c r="B835" i="1"/>
  <c r="C835" i="1"/>
  <c r="D835" i="1"/>
  <c r="E835" i="1"/>
  <c r="F835" i="1"/>
  <c r="G835" i="1"/>
  <c r="H835" i="1"/>
  <c r="I835" i="1"/>
  <c r="J835" i="1"/>
  <c r="K835" i="1"/>
  <c r="L835" i="1"/>
  <c r="M835" i="1"/>
  <c r="A836" i="1"/>
  <c r="B836" i="1"/>
  <c r="C836" i="1"/>
  <c r="D836" i="1"/>
  <c r="E836" i="1"/>
  <c r="F836" i="1"/>
  <c r="G836" i="1"/>
  <c r="H836" i="1"/>
  <c r="I836" i="1"/>
  <c r="J836" i="1"/>
  <c r="K836" i="1"/>
  <c r="L836" i="1"/>
  <c r="M836" i="1"/>
  <c r="A837" i="1"/>
  <c r="B837" i="1"/>
  <c r="C837" i="1"/>
  <c r="D837" i="1"/>
  <c r="E837" i="1"/>
  <c r="F837" i="1"/>
  <c r="G837" i="1"/>
  <c r="H837" i="1"/>
  <c r="I837" i="1"/>
  <c r="J837" i="1"/>
  <c r="K837" i="1"/>
  <c r="L837" i="1"/>
  <c r="M837" i="1"/>
  <c r="A838" i="1"/>
  <c r="B838" i="1"/>
  <c r="C838" i="1"/>
  <c r="D838" i="1"/>
  <c r="E838" i="1"/>
  <c r="F838" i="1"/>
  <c r="G838" i="1"/>
  <c r="H838" i="1"/>
  <c r="I838" i="1"/>
  <c r="J838" i="1"/>
  <c r="K838" i="1"/>
  <c r="L838" i="1"/>
  <c r="M838" i="1"/>
  <c r="A839" i="1"/>
  <c r="B839" i="1"/>
  <c r="C839" i="1"/>
  <c r="D839" i="1"/>
  <c r="E839" i="1"/>
  <c r="F839" i="1"/>
  <c r="G839" i="1"/>
  <c r="H839" i="1"/>
  <c r="I839" i="1"/>
  <c r="J839" i="1"/>
  <c r="K839" i="1"/>
  <c r="L839" i="1"/>
  <c r="M839" i="1"/>
  <c r="A840" i="1"/>
  <c r="B840" i="1"/>
  <c r="C840" i="1"/>
  <c r="D840" i="1"/>
  <c r="E840" i="1"/>
  <c r="F840" i="1"/>
  <c r="G840" i="1"/>
  <c r="H840" i="1"/>
  <c r="I840" i="1"/>
  <c r="J840" i="1"/>
  <c r="K840" i="1"/>
  <c r="L840" i="1"/>
  <c r="M840" i="1"/>
  <c r="A841" i="1"/>
  <c r="B841" i="1"/>
  <c r="C841" i="1"/>
  <c r="D841" i="1"/>
  <c r="E841" i="1"/>
  <c r="F841" i="1"/>
  <c r="G841" i="1"/>
  <c r="H841" i="1"/>
  <c r="I841" i="1"/>
  <c r="J841" i="1"/>
  <c r="K841" i="1"/>
  <c r="L841" i="1"/>
  <c r="M841" i="1"/>
  <c r="A842" i="1"/>
  <c r="B842" i="1"/>
  <c r="C842" i="1"/>
  <c r="D842" i="1"/>
  <c r="E842" i="1"/>
  <c r="F842" i="1"/>
  <c r="G842" i="1"/>
  <c r="H842" i="1"/>
  <c r="I842" i="1"/>
  <c r="J842" i="1"/>
  <c r="K842" i="1"/>
  <c r="L842" i="1"/>
  <c r="M842" i="1"/>
  <c r="A843" i="1"/>
  <c r="B843" i="1"/>
  <c r="C843" i="1"/>
  <c r="D843" i="1"/>
  <c r="E843" i="1"/>
  <c r="F843" i="1"/>
  <c r="G843" i="1"/>
  <c r="H843" i="1"/>
  <c r="I843" i="1"/>
  <c r="J843" i="1"/>
  <c r="K843" i="1"/>
  <c r="L843" i="1"/>
  <c r="M843" i="1"/>
  <c r="A844" i="1"/>
  <c r="B844" i="1"/>
  <c r="C844" i="1"/>
  <c r="D844" i="1"/>
  <c r="E844" i="1"/>
  <c r="F844" i="1"/>
  <c r="G844" i="1"/>
  <c r="H844" i="1"/>
  <c r="I844" i="1"/>
  <c r="J844" i="1"/>
  <c r="K844" i="1"/>
  <c r="L844" i="1"/>
  <c r="M844" i="1"/>
  <c r="A845" i="1"/>
  <c r="B845" i="1"/>
  <c r="C845" i="1"/>
  <c r="D845" i="1"/>
  <c r="E845" i="1"/>
  <c r="F845" i="1"/>
  <c r="G845" i="1"/>
  <c r="H845" i="1"/>
  <c r="I845" i="1"/>
  <c r="J845" i="1"/>
  <c r="K845" i="1"/>
  <c r="L845" i="1"/>
  <c r="M845" i="1"/>
  <c r="A846" i="1"/>
  <c r="B846" i="1"/>
  <c r="C846" i="1"/>
  <c r="D846" i="1"/>
  <c r="E846" i="1"/>
  <c r="F846" i="1"/>
  <c r="G846" i="1"/>
  <c r="H846" i="1"/>
  <c r="I846" i="1"/>
  <c r="J846" i="1"/>
  <c r="K846" i="1"/>
  <c r="L846" i="1"/>
  <c r="M846" i="1"/>
  <c r="A847" i="1"/>
  <c r="B847" i="1"/>
  <c r="C847" i="1"/>
  <c r="D847" i="1"/>
  <c r="E847" i="1"/>
  <c r="F847" i="1"/>
  <c r="G847" i="1"/>
  <c r="H847" i="1"/>
  <c r="I847" i="1"/>
  <c r="J847" i="1"/>
  <c r="K847" i="1"/>
  <c r="L847" i="1"/>
  <c r="M847" i="1"/>
  <c r="A848" i="1"/>
  <c r="B848" i="1"/>
  <c r="C848" i="1"/>
  <c r="D848" i="1"/>
  <c r="E848" i="1"/>
  <c r="F848" i="1"/>
  <c r="G848" i="1"/>
  <c r="H848" i="1"/>
  <c r="I848" i="1"/>
  <c r="J848" i="1"/>
  <c r="K848" i="1"/>
  <c r="L848" i="1"/>
  <c r="M848" i="1"/>
  <c r="A849" i="1"/>
  <c r="B849" i="1"/>
  <c r="C849" i="1"/>
  <c r="D849" i="1"/>
  <c r="E849" i="1"/>
  <c r="F849" i="1"/>
  <c r="G849" i="1"/>
  <c r="H849" i="1"/>
  <c r="I849" i="1"/>
  <c r="J849" i="1"/>
  <c r="K849" i="1"/>
  <c r="L849" i="1"/>
  <c r="M849" i="1"/>
  <c r="A850" i="1"/>
  <c r="B850" i="1"/>
  <c r="C850" i="1"/>
  <c r="D850" i="1"/>
  <c r="E850" i="1"/>
  <c r="F850" i="1"/>
  <c r="G850" i="1"/>
  <c r="H850" i="1"/>
  <c r="I850" i="1"/>
  <c r="J850" i="1"/>
  <c r="K850" i="1"/>
  <c r="L850" i="1"/>
  <c r="M850" i="1"/>
  <c r="A851" i="1"/>
  <c r="B851" i="1"/>
  <c r="C851" i="1"/>
  <c r="D851" i="1"/>
  <c r="E851" i="1"/>
  <c r="F851" i="1"/>
  <c r="G851" i="1"/>
  <c r="H851" i="1"/>
  <c r="I851" i="1"/>
  <c r="J851" i="1"/>
  <c r="K851" i="1"/>
  <c r="L851" i="1"/>
  <c r="M851" i="1"/>
  <c r="A852" i="1"/>
  <c r="B852" i="1"/>
  <c r="C852" i="1"/>
  <c r="D852" i="1"/>
  <c r="E852" i="1"/>
  <c r="F852" i="1"/>
  <c r="G852" i="1"/>
  <c r="H852" i="1"/>
  <c r="I852" i="1"/>
  <c r="J852" i="1"/>
  <c r="K852" i="1"/>
  <c r="L852" i="1"/>
  <c r="M852" i="1"/>
  <c r="A853" i="1"/>
  <c r="B853" i="1"/>
  <c r="C853" i="1"/>
  <c r="D853" i="1"/>
  <c r="E853" i="1"/>
  <c r="F853" i="1"/>
  <c r="G853" i="1"/>
  <c r="H853" i="1"/>
  <c r="I853" i="1"/>
  <c r="J853" i="1"/>
  <c r="K853" i="1"/>
  <c r="L853" i="1"/>
  <c r="M853" i="1"/>
  <c r="A854" i="1"/>
  <c r="B854" i="1"/>
  <c r="C854" i="1"/>
  <c r="D854" i="1"/>
  <c r="E854" i="1"/>
  <c r="F854" i="1"/>
  <c r="G854" i="1"/>
  <c r="H854" i="1"/>
  <c r="I854" i="1"/>
  <c r="J854" i="1"/>
  <c r="K854" i="1"/>
  <c r="L854" i="1"/>
  <c r="M854" i="1"/>
  <c r="A855" i="1"/>
  <c r="B855" i="1"/>
  <c r="C855" i="1"/>
  <c r="D855" i="1"/>
  <c r="E855" i="1"/>
  <c r="F855" i="1"/>
  <c r="G855" i="1"/>
  <c r="H855" i="1"/>
  <c r="I855" i="1"/>
  <c r="J855" i="1"/>
  <c r="K855" i="1"/>
  <c r="L855" i="1"/>
  <c r="M855" i="1"/>
  <c r="A856" i="1"/>
  <c r="B856" i="1"/>
  <c r="C856" i="1"/>
  <c r="D856" i="1"/>
  <c r="E856" i="1"/>
  <c r="F856" i="1"/>
  <c r="G856" i="1"/>
  <c r="H856" i="1"/>
  <c r="I856" i="1"/>
  <c r="J856" i="1"/>
  <c r="K856" i="1"/>
  <c r="L856" i="1"/>
  <c r="M856" i="1"/>
  <c r="A857" i="1"/>
  <c r="B857" i="1"/>
  <c r="C857" i="1"/>
  <c r="D857" i="1"/>
  <c r="E857" i="1"/>
  <c r="F857" i="1"/>
  <c r="G857" i="1"/>
  <c r="H857" i="1"/>
  <c r="I857" i="1"/>
  <c r="J857" i="1"/>
  <c r="K857" i="1"/>
  <c r="L857" i="1"/>
  <c r="M857" i="1"/>
  <c r="A858" i="1"/>
  <c r="B858" i="1"/>
  <c r="C858" i="1"/>
  <c r="D858" i="1"/>
  <c r="E858" i="1"/>
  <c r="F858" i="1"/>
  <c r="G858" i="1"/>
  <c r="H858" i="1"/>
  <c r="I858" i="1"/>
  <c r="J858" i="1"/>
  <c r="K858" i="1"/>
  <c r="L858" i="1"/>
  <c r="M858" i="1"/>
  <c r="A859" i="1"/>
  <c r="B859" i="1"/>
  <c r="C859" i="1"/>
  <c r="D859" i="1"/>
  <c r="E859" i="1"/>
  <c r="F859" i="1"/>
  <c r="G859" i="1"/>
  <c r="H859" i="1"/>
  <c r="I859" i="1"/>
  <c r="J859" i="1"/>
  <c r="K859" i="1"/>
  <c r="L859" i="1"/>
  <c r="M859" i="1"/>
  <c r="A860" i="1"/>
  <c r="B860" i="1"/>
  <c r="C860" i="1"/>
  <c r="D860" i="1"/>
  <c r="E860" i="1"/>
  <c r="F860" i="1"/>
  <c r="G860" i="1"/>
  <c r="H860" i="1"/>
  <c r="I860" i="1"/>
  <c r="J860" i="1"/>
  <c r="K860" i="1"/>
  <c r="L860" i="1"/>
  <c r="M860" i="1"/>
  <c r="A861" i="1"/>
  <c r="B861" i="1"/>
  <c r="C861" i="1"/>
  <c r="D861" i="1"/>
  <c r="E861" i="1"/>
  <c r="F861" i="1"/>
  <c r="G861" i="1"/>
  <c r="H861" i="1"/>
  <c r="I861" i="1"/>
  <c r="J861" i="1"/>
  <c r="K861" i="1"/>
  <c r="L861" i="1"/>
  <c r="M861" i="1"/>
  <c r="A862" i="1"/>
  <c r="B862" i="1"/>
  <c r="C862" i="1"/>
  <c r="D862" i="1"/>
  <c r="E862" i="1"/>
  <c r="F862" i="1"/>
  <c r="G862" i="1"/>
  <c r="H862" i="1"/>
  <c r="I862" i="1"/>
  <c r="J862" i="1"/>
  <c r="K862" i="1"/>
  <c r="L862" i="1"/>
  <c r="M862" i="1"/>
  <c r="A863" i="1"/>
  <c r="B863" i="1"/>
  <c r="C863" i="1"/>
  <c r="D863" i="1"/>
  <c r="E863" i="1"/>
  <c r="F863" i="1"/>
  <c r="G863" i="1"/>
  <c r="H863" i="1"/>
  <c r="I863" i="1"/>
  <c r="J863" i="1"/>
  <c r="K863" i="1"/>
  <c r="L863" i="1"/>
  <c r="M863" i="1"/>
  <c r="A864" i="1"/>
  <c r="B864" i="1"/>
  <c r="C864" i="1"/>
  <c r="D864" i="1"/>
  <c r="E864" i="1"/>
  <c r="F864" i="1"/>
  <c r="G864" i="1"/>
  <c r="H864" i="1"/>
  <c r="I864" i="1"/>
  <c r="J864" i="1"/>
  <c r="K864" i="1"/>
  <c r="L864" i="1"/>
  <c r="M864" i="1"/>
  <c r="A865" i="1"/>
  <c r="B865" i="1"/>
  <c r="C865" i="1"/>
  <c r="D865" i="1"/>
  <c r="E865" i="1"/>
  <c r="F865" i="1"/>
  <c r="G865" i="1"/>
  <c r="H865" i="1"/>
  <c r="I865" i="1"/>
  <c r="J865" i="1"/>
  <c r="K865" i="1"/>
  <c r="L865" i="1"/>
  <c r="M865" i="1"/>
  <c r="A866" i="1"/>
  <c r="B866" i="1"/>
  <c r="C866" i="1"/>
  <c r="D866" i="1"/>
  <c r="E866" i="1"/>
  <c r="F866" i="1"/>
  <c r="G866" i="1"/>
  <c r="H866" i="1"/>
  <c r="I866" i="1"/>
  <c r="J866" i="1"/>
  <c r="K866" i="1"/>
  <c r="L866" i="1"/>
  <c r="M866" i="1"/>
  <c r="A867" i="1"/>
  <c r="B867" i="1"/>
  <c r="C867" i="1"/>
  <c r="D867" i="1"/>
  <c r="E867" i="1"/>
  <c r="F867" i="1"/>
  <c r="G867" i="1"/>
  <c r="H867" i="1"/>
  <c r="I867" i="1"/>
  <c r="J867" i="1"/>
  <c r="K867" i="1"/>
  <c r="L867" i="1"/>
  <c r="M867" i="1"/>
  <c r="A868" i="1"/>
  <c r="B868" i="1"/>
  <c r="C868" i="1"/>
  <c r="D868" i="1"/>
  <c r="E868" i="1"/>
  <c r="F868" i="1"/>
  <c r="G868" i="1"/>
  <c r="H868" i="1"/>
  <c r="I868" i="1"/>
  <c r="J868" i="1"/>
  <c r="K868" i="1"/>
  <c r="L868" i="1"/>
  <c r="M868" i="1"/>
  <c r="A869" i="1"/>
  <c r="B869" i="1"/>
  <c r="C869" i="1"/>
  <c r="D869" i="1"/>
  <c r="E869" i="1"/>
  <c r="F869" i="1"/>
  <c r="G869" i="1"/>
  <c r="H869" i="1"/>
  <c r="I869" i="1"/>
  <c r="J869" i="1"/>
  <c r="K869" i="1"/>
  <c r="L869" i="1"/>
  <c r="M869" i="1"/>
  <c r="A870" i="1"/>
  <c r="B870" i="1"/>
  <c r="C870" i="1"/>
  <c r="D870" i="1"/>
  <c r="E870" i="1"/>
  <c r="F870" i="1"/>
  <c r="G870" i="1"/>
  <c r="H870" i="1"/>
  <c r="I870" i="1"/>
  <c r="J870" i="1"/>
  <c r="K870" i="1"/>
  <c r="L870" i="1"/>
  <c r="M870" i="1"/>
  <c r="A871" i="1"/>
  <c r="B871" i="1"/>
  <c r="C871" i="1"/>
  <c r="D871" i="1"/>
  <c r="E871" i="1"/>
  <c r="F871" i="1"/>
  <c r="G871" i="1"/>
  <c r="H871" i="1"/>
  <c r="I871" i="1"/>
  <c r="J871" i="1"/>
  <c r="K871" i="1"/>
  <c r="L871" i="1"/>
  <c r="M871" i="1"/>
  <c r="A872" i="1"/>
  <c r="B872" i="1"/>
  <c r="C872" i="1"/>
  <c r="D872" i="1"/>
  <c r="E872" i="1"/>
  <c r="F872" i="1"/>
  <c r="G872" i="1"/>
  <c r="H872" i="1"/>
  <c r="I872" i="1"/>
  <c r="J872" i="1"/>
  <c r="K872" i="1"/>
  <c r="L872" i="1"/>
  <c r="M872" i="1"/>
  <c r="A873" i="1"/>
  <c r="B873" i="1"/>
  <c r="C873" i="1"/>
  <c r="D873" i="1"/>
  <c r="E873" i="1"/>
  <c r="F873" i="1"/>
  <c r="G873" i="1"/>
  <c r="H873" i="1"/>
  <c r="I873" i="1"/>
  <c r="J873" i="1"/>
  <c r="K873" i="1"/>
  <c r="L873" i="1"/>
  <c r="M873" i="1"/>
  <c r="A874" i="1"/>
  <c r="B874" i="1"/>
  <c r="C874" i="1"/>
  <c r="D874" i="1"/>
  <c r="E874" i="1"/>
  <c r="F874" i="1"/>
  <c r="G874" i="1"/>
  <c r="H874" i="1"/>
  <c r="I874" i="1"/>
  <c r="J874" i="1"/>
  <c r="K874" i="1"/>
  <c r="L874" i="1"/>
  <c r="M874" i="1"/>
  <c r="A875" i="1"/>
  <c r="B875" i="1"/>
  <c r="C875" i="1"/>
  <c r="D875" i="1"/>
  <c r="E875" i="1"/>
  <c r="F875" i="1"/>
  <c r="G875" i="1"/>
  <c r="H875" i="1"/>
  <c r="I875" i="1"/>
  <c r="J875" i="1"/>
  <c r="K875" i="1"/>
  <c r="L875" i="1"/>
  <c r="M875" i="1"/>
  <c r="A876" i="1"/>
  <c r="B876" i="1"/>
  <c r="C876" i="1"/>
  <c r="D876" i="1"/>
  <c r="E876" i="1"/>
  <c r="F876" i="1"/>
  <c r="G876" i="1"/>
  <c r="H876" i="1"/>
  <c r="I876" i="1"/>
  <c r="J876" i="1"/>
  <c r="K876" i="1"/>
  <c r="L876" i="1"/>
  <c r="M876" i="1"/>
  <c r="A877" i="1"/>
  <c r="B877" i="1"/>
  <c r="C877" i="1"/>
  <c r="D877" i="1"/>
  <c r="E877" i="1"/>
  <c r="F877" i="1"/>
  <c r="G877" i="1"/>
  <c r="H877" i="1"/>
  <c r="I877" i="1"/>
  <c r="J877" i="1"/>
  <c r="K877" i="1"/>
  <c r="L877" i="1"/>
  <c r="M877" i="1"/>
  <c r="A878" i="1"/>
  <c r="B878" i="1"/>
  <c r="C878" i="1"/>
  <c r="D878" i="1"/>
  <c r="E878" i="1"/>
  <c r="F878" i="1"/>
  <c r="G878" i="1"/>
  <c r="H878" i="1"/>
  <c r="I878" i="1"/>
  <c r="J878" i="1"/>
  <c r="K878" i="1"/>
  <c r="L878" i="1"/>
  <c r="M878" i="1"/>
  <c r="A879" i="1"/>
  <c r="B879" i="1"/>
  <c r="C879" i="1"/>
  <c r="D879" i="1"/>
  <c r="E879" i="1"/>
  <c r="F879" i="1"/>
  <c r="G879" i="1"/>
  <c r="H879" i="1"/>
  <c r="I879" i="1"/>
  <c r="J879" i="1"/>
  <c r="K879" i="1"/>
  <c r="L879" i="1"/>
  <c r="M879" i="1"/>
  <c r="A880" i="1"/>
  <c r="B880" i="1"/>
  <c r="C880" i="1"/>
  <c r="D880" i="1"/>
  <c r="E880" i="1"/>
  <c r="F880" i="1"/>
  <c r="G880" i="1"/>
  <c r="H880" i="1"/>
  <c r="I880" i="1"/>
  <c r="J880" i="1"/>
  <c r="K880" i="1"/>
  <c r="L880" i="1"/>
  <c r="M880" i="1"/>
  <c r="A881" i="1"/>
  <c r="B881" i="1"/>
  <c r="C881" i="1"/>
  <c r="D881" i="1"/>
  <c r="E881" i="1"/>
  <c r="F881" i="1"/>
  <c r="G881" i="1"/>
  <c r="H881" i="1"/>
  <c r="I881" i="1"/>
  <c r="J881" i="1"/>
  <c r="K881" i="1"/>
  <c r="L881" i="1"/>
  <c r="M881" i="1"/>
  <c r="A882" i="1"/>
  <c r="B882" i="1"/>
  <c r="C882" i="1"/>
  <c r="D882" i="1"/>
  <c r="E882" i="1"/>
  <c r="F882" i="1"/>
  <c r="G882" i="1"/>
  <c r="H882" i="1"/>
  <c r="I882" i="1"/>
  <c r="J882" i="1"/>
  <c r="K882" i="1"/>
  <c r="L882" i="1"/>
  <c r="M882" i="1"/>
  <c r="A883" i="1"/>
  <c r="B883" i="1"/>
  <c r="C883" i="1"/>
  <c r="D883" i="1"/>
  <c r="E883" i="1"/>
  <c r="F883" i="1"/>
  <c r="G883" i="1"/>
  <c r="H883" i="1"/>
  <c r="I883" i="1"/>
  <c r="J883" i="1"/>
  <c r="K883" i="1"/>
  <c r="L883" i="1"/>
  <c r="M883" i="1"/>
  <c r="A884" i="1"/>
  <c r="B884" i="1"/>
  <c r="C884" i="1"/>
  <c r="D884" i="1"/>
  <c r="E884" i="1"/>
  <c r="F884" i="1"/>
  <c r="G884" i="1"/>
  <c r="H884" i="1"/>
  <c r="I884" i="1"/>
  <c r="J884" i="1"/>
  <c r="K884" i="1"/>
  <c r="L884" i="1"/>
  <c r="M884" i="1"/>
  <c r="A885" i="1"/>
  <c r="B885" i="1"/>
  <c r="C885" i="1"/>
  <c r="D885" i="1"/>
  <c r="E885" i="1"/>
  <c r="F885" i="1"/>
  <c r="G885" i="1"/>
  <c r="H885" i="1"/>
  <c r="I885" i="1"/>
  <c r="J885" i="1"/>
  <c r="K885" i="1"/>
  <c r="L885" i="1"/>
  <c r="M885" i="1"/>
  <c r="A886" i="1"/>
  <c r="B886" i="1"/>
  <c r="C886" i="1"/>
  <c r="D886" i="1"/>
  <c r="E886" i="1"/>
  <c r="F886" i="1"/>
  <c r="G886" i="1"/>
  <c r="H886" i="1"/>
  <c r="I886" i="1"/>
  <c r="J886" i="1"/>
  <c r="K886" i="1"/>
  <c r="L886" i="1"/>
  <c r="M886" i="1"/>
  <c r="A887" i="1"/>
  <c r="B887" i="1"/>
  <c r="C887" i="1"/>
  <c r="D887" i="1"/>
  <c r="E887" i="1"/>
  <c r="F887" i="1"/>
  <c r="G887" i="1"/>
  <c r="H887" i="1"/>
  <c r="I887" i="1"/>
  <c r="J887" i="1"/>
  <c r="K887" i="1"/>
  <c r="L887" i="1"/>
  <c r="M887" i="1"/>
  <c r="A888" i="1"/>
  <c r="B888" i="1"/>
  <c r="C888" i="1"/>
  <c r="D888" i="1"/>
  <c r="E888" i="1"/>
  <c r="F888" i="1"/>
  <c r="G888" i="1"/>
  <c r="H888" i="1"/>
  <c r="I888" i="1"/>
  <c r="J888" i="1"/>
  <c r="K888" i="1"/>
  <c r="L888" i="1"/>
  <c r="M888" i="1"/>
  <c r="A889" i="1"/>
  <c r="B889" i="1"/>
  <c r="C889" i="1"/>
  <c r="D889" i="1"/>
  <c r="E889" i="1"/>
  <c r="F889" i="1"/>
  <c r="G889" i="1"/>
  <c r="H889" i="1"/>
  <c r="I889" i="1"/>
  <c r="J889" i="1"/>
  <c r="K889" i="1"/>
  <c r="L889" i="1"/>
  <c r="M889" i="1"/>
  <c r="A890" i="1"/>
  <c r="B890" i="1"/>
  <c r="C890" i="1"/>
  <c r="D890" i="1"/>
  <c r="E890" i="1"/>
  <c r="F890" i="1"/>
  <c r="G890" i="1"/>
  <c r="H890" i="1"/>
  <c r="I890" i="1"/>
  <c r="J890" i="1"/>
  <c r="K890" i="1"/>
  <c r="L890" i="1"/>
  <c r="M890" i="1"/>
  <c r="A891" i="1"/>
  <c r="B891" i="1"/>
  <c r="C891" i="1"/>
  <c r="D891" i="1"/>
  <c r="E891" i="1"/>
  <c r="F891" i="1"/>
  <c r="G891" i="1"/>
  <c r="H891" i="1"/>
  <c r="I891" i="1"/>
  <c r="J891" i="1"/>
  <c r="K891" i="1"/>
  <c r="L891" i="1"/>
  <c r="M891" i="1"/>
  <c r="A892" i="1"/>
  <c r="B892" i="1"/>
  <c r="C892" i="1"/>
  <c r="D892" i="1"/>
  <c r="E892" i="1"/>
  <c r="F892" i="1"/>
  <c r="G892" i="1"/>
  <c r="H892" i="1"/>
  <c r="I892" i="1"/>
  <c r="J892" i="1"/>
  <c r="K892" i="1"/>
  <c r="L892" i="1"/>
  <c r="M892" i="1"/>
  <c r="A893" i="1"/>
  <c r="B893" i="1"/>
  <c r="C893" i="1"/>
  <c r="D893" i="1"/>
  <c r="E893" i="1"/>
  <c r="F893" i="1"/>
  <c r="G893" i="1"/>
  <c r="H893" i="1"/>
  <c r="I893" i="1"/>
  <c r="J893" i="1"/>
  <c r="K893" i="1"/>
  <c r="L893" i="1"/>
  <c r="M893" i="1"/>
  <c r="A894" i="1"/>
  <c r="B894" i="1"/>
  <c r="C894" i="1"/>
  <c r="D894" i="1"/>
  <c r="E894" i="1"/>
  <c r="F894" i="1"/>
  <c r="G894" i="1"/>
  <c r="H894" i="1"/>
  <c r="I894" i="1"/>
  <c r="J894" i="1"/>
  <c r="K894" i="1"/>
  <c r="L894" i="1"/>
  <c r="M894" i="1"/>
  <c r="A895" i="1"/>
  <c r="B895" i="1"/>
  <c r="C895" i="1"/>
  <c r="D895" i="1"/>
  <c r="E895" i="1"/>
  <c r="F895" i="1"/>
  <c r="G895" i="1"/>
  <c r="H895" i="1"/>
  <c r="I895" i="1"/>
  <c r="J895" i="1"/>
  <c r="K895" i="1"/>
  <c r="L895" i="1"/>
  <c r="M895" i="1"/>
  <c r="A896" i="1"/>
  <c r="B896" i="1"/>
  <c r="C896" i="1"/>
  <c r="D896" i="1"/>
  <c r="E896" i="1"/>
  <c r="F896" i="1"/>
  <c r="G896" i="1"/>
  <c r="H896" i="1"/>
  <c r="I896" i="1"/>
  <c r="J896" i="1"/>
  <c r="K896" i="1"/>
  <c r="L896" i="1"/>
  <c r="M896" i="1"/>
  <c r="A897" i="1"/>
  <c r="B897" i="1"/>
  <c r="C897" i="1"/>
  <c r="D897" i="1"/>
  <c r="E897" i="1"/>
  <c r="F897" i="1"/>
  <c r="G897" i="1"/>
  <c r="H897" i="1"/>
  <c r="I897" i="1"/>
  <c r="J897" i="1"/>
  <c r="K897" i="1"/>
  <c r="L897" i="1"/>
  <c r="M897" i="1"/>
  <c r="A898" i="1"/>
  <c r="B898" i="1"/>
  <c r="C898" i="1"/>
  <c r="D898" i="1"/>
  <c r="E898" i="1"/>
  <c r="F898" i="1"/>
  <c r="G898" i="1"/>
  <c r="H898" i="1"/>
  <c r="I898" i="1"/>
  <c r="J898" i="1"/>
  <c r="K898" i="1"/>
  <c r="L898" i="1"/>
  <c r="M898" i="1"/>
  <c r="A899" i="1"/>
  <c r="B899" i="1"/>
  <c r="C899" i="1"/>
  <c r="D899" i="1"/>
  <c r="E899" i="1"/>
  <c r="F899" i="1"/>
  <c r="G899" i="1"/>
  <c r="H899" i="1"/>
  <c r="I899" i="1"/>
  <c r="J899" i="1"/>
  <c r="K899" i="1"/>
  <c r="L899" i="1"/>
  <c r="M899" i="1"/>
  <c r="A900" i="1"/>
  <c r="B900" i="1"/>
  <c r="C900" i="1"/>
  <c r="D900" i="1"/>
  <c r="E900" i="1"/>
  <c r="F900" i="1"/>
  <c r="G900" i="1"/>
  <c r="H900" i="1"/>
  <c r="I900" i="1"/>
  <c r="J900" i="1"/>
  <c r="K900" i="1"/>
  <c r="L900" i="1"/>
  <c r="M900" i="1"/>
  <c r="A901" i="1"/>
  <c r="B901" i="1"/>
  <c r="C901" i="1"/>
  <c r="D901" i="1"/>
  <c r="E901" i="1"/>
  <c r="F901" i="1"/>
  <c r="G901" i="1"/>
  <c r="H901" i="1"/>
  <c r="I901" i="1"/>
  <c r="J901" i="1"/>
  <c r="K901" i="1"/>
  <c r="L901" i="1"/>
  <c r="M901" i="1"/>
  <c r="A902" i="1"/>
  <c r="B902" i="1"/>
  <c r="C902" i="1"/>
  <c r="D902" i="1"/>
  <c r="E902" i="1"/>
  <c r="F902" i="1"/>
  <c r="G902" i="1"/>
  <c r="H902" i="1"/>
  <c r="I902" i="1"/>
  <c r="J902" i="1"/>
  <c r="K902" i="1"/>
  <c r="L902" i="1"/>
  <c r="M902" i="1"/>
  <c r="A903" i="1"/>
  <c r="B903" i="1"/>
  <c r="C903" i="1"/>
  <c r="D903" i="1"/>
  <c r="E903" i="1"/>
  <c r="F903" i="1"/>
  <c r="G903" i="1"/>
  <c r="H903" i="1"/>
  <c r="I903" i="1"/>
  <c r="J903" i="1"/>
  <c r="K903" i="1"/>
  <c r="L903" i="1"/>
  <c r="M903" i="1"/>
  <c r="A904" i="1"/>
  <c r="B904" i="1"/>
  <c r="C904" i="1"/>
  <c r="D904" i="1"/>
  <c r="E904" i="1"/>
  <c r="F904" i="1"/>
  <c r="G904" i="1"/>
  <c r="H904" i="1"/>
  <c r="I904" i="1"/>
  <c r="J904" i="1"/>
  <c r="K904" i="1"/>
  <c r="L904" i="1"/>
  <c r="M904" i="1"/>
  <c r="A905" i="1"/>
  <c r="B905" i="1"/>
  <c r="C905" i="1"/>
  <c r="D905" i="1"/>
  <c r="E905" i="1"/>
  <c r="F905" i="1"/>
  <c r="G905" i="1"/>
  <c r="H905" i="1"/>
  <c r="I905" i="1"/>
  <c r="J905" i="1"/>
  <c r="K905" i="1"/>
  <c r="L905" i="1"/>
  <c r="M905" i="1"/>
  <c r="A906" i="1"/>
  <c r="B906" i="1"/>
  <c r="C906" i="1"/>
  <c r="D906" i="1"/>
  <c r="E906" i="1"/>
  <c r="F906" i="1"/>
  <c r="G906" i="1"/>
  <c r="H906" i="1"/>
  <c r="I906" i="1"/>
  <c r="J906" i="1"/>
  <c r="K906" i="1"/>
  <c r="L906" i="1"/>
  <c r="M906" i="1"/>
  <c r="A907" i="1"/>
  <c r="B907" i="1"/>
  <c r="C907" i="1"/>
  <c r="D907" i="1"/>
  <c r="E907" i="1"/>
  <c r="F907" i="1"/>
  <c r="G907" i="1"/>
  <c r="H907" i="1"/>
  <c r="I907" i="1"/>
  <c r="J907" i="1"/>
  <c r="K907" i="1"/>
  <c r="L907" i="1"/>
  <c r="M907" i="1"/>
  <c r="A908" i="1"/>
  <c r="B908" i="1"/>
  <c r="C908" i="1"/>
  <c r="D908" i="1"/>
  <c r="E908" i="1"/>
  <c r="F908" i="1"/>
  <c r="G908" i="1"/>
  <c r="H908" i="1"/>
  <c r="I908" i="1"/>
  <c r="J908" i="1"/>
  <c r="K908" i="1"/>
  <c r="L908" i="1"/>
  <c r="M908" i="1"/>
  <c r="A909" i="1"/>
  <c r="B909" i="1"/>
  <c r="C909" i="1"/>
  <c r="D909" i="1"/>
  <c r="E909" i="1"/>
  <c r="F909" i="1"/>
  <c r="G909" i="1"/>
  <c r="H909" i="1"/>
  <c r="I909" i="1"/>
  <c r="J909" i="1"/>
  <c r="K909" i="1"/>
  <c r="L909" i="1"/>
  <c r="M909" i="1"/>
  <c r="A910" i="1"/>
  <c r="B910" i="1"/>
  <c r="C910" i="1"/>
  <c r="D910" i="1"/>
  <c r="E910" i="1"/>
  <c r="F910" i="1"/>
  <c r="G910" i="1"/>
  <c r="H910" i="1"/>
  <c r="I910" i="1"/>
  <c r="J910" i="1"/>
  <c r="K910" i="1"/>
  <c r="L910" i="1"/>
  <c r="M910" i="1"/>
  <c r="A911" i="1"/>
  <c r="B911" i="1"/>
  <c r="C911" i="1"/>
  <c r="D911" i="1"/>
  <c r="E911" i="1"/>
  <c r="F911" i="1"/>
  <c r="G911" i="1"/>
  <c r="H911" i="1"/>
  <c r="I911" i="1"/>
  <c r="J911" i="1"/>
  <c r="K911" i="1"/>
  <c r="L911" i="1"/>
  <c r="M911" i="1"/>
  <c r="A912" i="1"/>
  <c r="B912" i="1"/>
  <c r="C912" i="1"/>
  <c r="D912" i="1"/>
  <c r="E912" i="1"/>
  <c r="F912" i="1"/>
  <c r="G912" i="1"/>
  <c r="H912" i="1"/>
  <c r="I912" i="1"/>
  <c r="J912" i="1"/>
  <c r="K912" i="1"/>
  <c r="L912" i="1"/>
  <c r="M912" i="1"/>
  <c r="A913" i="1"/>
  <c r="B913" i="1"/>
  <c r="C913" i="1"/>
  <c r="D913" i="1"/>
  <c r="E913" i="1"/>
  <c r="F913" i="1"/>
  <c r="G913" i="1"/>
  <c r="H913" i="1"/>
  <c r="I913" i="1"/>
  <c r="J913" i="1"/>
  <c r="K913" i="1"/>
  <c r="L913" i="1"/>
  <c r="M913" i="1"/>
  <c r="A914" i="1"/>
  <c r="B914" i="1"/>
  <c r="C914" i="1"/>
  <c r="D914" i="1"/>
  <c r="E914" i="1"/>
  <c r="F914" i="1"/>
  <c r="G914" i="1"/>
  <c r="H914" i="1"/>
  <c r="I914" i="1"/>
  <c r="J914" i="1"/>
  <c r="K914" i="1"/>
  <c r="L914" i="1"/>
  <c r="M914" i="1"/>
  <c r="A915" i="1"/>
  <c r="B915" i="1"/>
  <c r="C915" i="1"/>
  <c r="D915" i="1"/>
  <c r="E915" i="1"/>
  <c r="F915" i="1"/>
  <c r="G915" i="1"/>
  <c r="H915" i="1"/>
  <c r="I915" i="1"/>
  <c r="J915" i="1"/>
  <c r="K915" i="1"/>
  <c r="L915" i="1"/>
  <c r="M915" i="1"/>
  <c r="A916" i="1"/>
  <c r="B916" i="1"/>
  <c r="C916" i="1"/>
  <c r="D916" i="1"/>
  <c r="E916" i="1"/>
  <c r="F916" i="1"/>
  <c r="G916" i="1"/>
  <c r="H916" i="1"/>
  <c r="I916" i="1"/>
  <c r="J916" i="1"/>
  <c r="K916" i="1"/>
  <c r="L916" i="1"/>
  <c r="M916" i="1"/>
  <c r="A917" i="1"/>
  <c r="B917" i="1"/>
  <c r="C917" i="1"/>
  <c r="D917" i="1"/>
  <c r="E917" i="1"/>
  <c r="F917" i="1"/>
  <c r="G917" i="1"/>
  <c r="H917" i="1"/>
  <c r="I917" i="1"/>
  <c r="J917" i="1"/>
  <c r="K917" i="1"/>
  <c r="L917" i="1"/>
  <c r="M917" i="1"/>
  <c r="A918" i="1"/>
  <c r="B918" i="1"/>
  <c r="C918" i="1"/>
  <c r="D918" i="1"/>
  <c r="E918" i="1"/>
  <c r="F918" i="1"/>
  <c r="G918" i="1"/>
  <c r="H918" i="1"/>
  <c r="I918" i="1"/>
  <c r="J918" i="1"/>
  <c r="K918" i="1"/>
  <c r="L918" i="1"/>
  <c r="M918" i="1"/>
  <c r="A919" i="1"/>
  <c r="B919" i="1"/>
  <c r="C919" i="1"/>
  <c r="D919" i="1"/>
  <c r="E919" i="1"/>
  <c r="F919" i="1"/>
  <c r="G919" i="1"/>
  <c r="H919" i="1"/>
  <c r="I919" i="1"/>
  <c r="J919" i="1"/>
  <c r="K919" i="1"/>
  <c r="L919" i="1"/>
  <c r="M919" i="1"/>
  <c r="A920" i="1"/>
  <c r="B920" i="1"/>
  <c r="C920" i="1"/>
  <c r="D920" i="1"/>
  <c r="E920" i="1"/>
  <c r="F920" i="1"/>
  <c r="G920" i="1"/>
  <c r="H920" i="1"/>
  <c r="I920" i="1"/>
  <c r="J920" i="1"/>
  <c r="K920" i="1"/>
  <c r="L920" i="1"/>
  <c r="M920" i="1"/>
  <c r="A921" i="1"/>
  <c r="B921" i="1"/>
  <c r="C921" i="1"/>
  <c r="D921" i="1"/>
  <c r="E921" i="1"/>
  <c r="F921" i="1"/>
  <c r="G921" i="1"/>
  <c r="H921" i="1"/>
  <c r="I921" i="1"/>
  <c r="J921" i="1"/>
  <c r="K921" i="1"/>
  <c r="L921" i="1"/>
  <c r="M921" i="1"/>
  <c r="A922" i="1"/>
  <c r="B922" i="1"/>
  <c r="C922" i="1"/>
  <c r="D922" i="1"/>
  <c r="E922" i="1"/>
  <c r="F922" i="1"/>
  <c r="G922" i="1"/>
  <c r="H922" i="1"/>
  <c r="I922" i="1"/>
  <c r="J922" i="1"/>
  <c r="K922" i="1"/>
  <c r="L922" i="1"/>
  <c r="M922" i="1"/>
  <c r="A923" i="1"/>
  <c r="B923" i="1"/>
  <c r="C923" i="1"/>
  <c r="D923" i="1"/>
  <c r="E923" i="1"/>
  <c r="F923" i="1"/>
  <c r="G923" i="1"/>
  <c r="H923" i="1"/>
  <c r="I923" i="1"/>
  <c r="J923" i="1"/>
  <c r="K923" i="1"/>
  <c r="L923" i="1"/>
  <c r="M923" i="1"/>
  <c r="A924" i="1"/>
  <c r="B924" i="1"/>
  <c r="C924" i="1"/>
  <c r="D924" i="1"/>
  <c r="E924" i="1"/>
  <c r="F924" i="1"/>
  <c r="G924" i="1"/>
  <c r="H924" i="1"/>
  <c r="I924" i="1"/>
  <c r="J924" i="1"/>
  <c r="K924" i="1"/>
  <c r="L924" i="1"/>
  <c r="M924" i="1"/>
  <c r="A925" i="1"/>
  <c r="B925" i="1"/>
  <c r="C925" i="1"/>
  <c r="D925" i="1"/>
  <c r="E925" i="1"/>
  <c r="F925" i="1"/>
  <c r="G925" i="1"/>
  <c r="H925" i="1"/>
  <c r="I925" i="1"/>
  <c r="J925" i="1"/>
  <c r="K925" i="1"/>
  <c r="L925" i="1"/>
  <c r="M925" i="1"/>
  <c r="A926" i="1"/>
  <c r="B926" i="1"/>
  <c r="C926" i="1"/>
  <c r="D926" i="1"/>
  <c r="E926" i="1"/>
  <c r="F926" i="1"/>
  <c r="G926" i="1"/>
  <c r="H926" i="1"/>
  <c r="I926" i="1"/>
  <c r="J926" i="1"/>
  <c r="K926" i="1"/>
  <c r="L926" i="1"/>
  <c r="M926" i="1"/>
  <c r="A927" i="1"/>
  <c r="B927" i="1"/>
  <c r="C927" i="1"/>
  <c r="D927" i="1"/>
  <c r="E927" i="1"/>
  <c r="F927" i="1"/>
  <c r="G927" i="1"/>
  <c r="H927" i="1"/>
  <c r="I927" i="1"/>
  <c r="J927" i="1"/>
  <c r="K927" i="1"/>
  <c r="L927" i="1"/>
  <c r="M927" i="1"/>
  <c r="A928" i="1"/>
  <c r="B928" i="1"/>
  <c r="C928" i="1"/>
  <c r="D928" i="1"/>
  <c r="E928" i="1"/>
  <c r="F928" i="1"/>
  <c r="G928" i="1"/>
  <c r="H928" i="1"/>
  <c r="I928" i="1"/>
  <c r="J928" i="1"/>
  <c r="K928" i="1"/>
  <c r="L928" i="1"/>
  <c r="M928" i="1"/>
  <c r="A929" i="1"/>
  <c r="B929" i="1"/>
  <c r="C929" i="1"/>
  <c r="D929" i="1"/>
  <c r="E929" i="1"/>
  <c r="F929" i="1"/>
  <c r="G929" i="1"/>
  <c r="H929" i="1"/>
  <c r="I929" i="1"/>
  <c r="J929" i="1"/>
  <c r="K929" i="1"/>
  <c r="L929" i="1"/>
  <c r="M929" i="1"/>
  <c r="A930" i="1"/>
  <c r="B930" i="1"/>
  <c r="C930" i="1"/>
  <c r="D930" i="1"/>
  <c r="E930" i="1"/>
  <c r="F930" i="1"/>
  <c r="G930" i="1"/>
  <c r="H930" i="1"/>
  <c r="I930" i="1"/>
  <c r="J930" i="1"/>
  <c r="K930" i="1"/>
  <c r="L930" i="1"/>
  <c r="M930" i="1"/>
  <c r="A931" i="1"/>
  <c r="B931" i="1"/>
  <c r="C931" i="1"/>
  <c r="D931" i="1"/>
  <c r="E931" i="1"/>
  <c r="F931" i="1"/>
  <c r="G931" i="1"/>
  <c r="H931" i="1"/>
  <c r="I931" i="1"/>
  <c r="J931" i="1"/>
  <c r="K931" i="1"/>
  <c r="L931" i="1"/>
  <c r="M931" i="1"/>
  <c r="A932" i="1"/>
  <c r="B932" i="1"/>
  <c r="C932" i="1"/>
  <c r="D932" i="1"/>
  <c r="E932" i="1"/>
  <c r="F932" i="1"/>
  <c r="G932" i="1"/>
  <c r="H932" i="1"/>
  <c r="I932" i="1"/>
  <c r="J932" i="1"/>
  <c r="K932" i="1"/>
  <c r="L932" i="1"/>
  <c r="M932" i="1"/>
  <c r="A933" i="1"/>
  <c r="B933" i="1"/>
  <c r="C933" i="1"/>
  <c r="D933" i="1"/>
  <c r="E933" i="1"/>
  <c r="F933" i="1"/>
  <c r="G933" i="1"/>
  <c r="H933" i="1"/>
  <c r="I933" i="1"/>
  <c r="J933" i="1"/>
  <c r="K933" i="1"/>
  <c r="L933" i="1"/>
  <c r="M933" i="1"/>
  <c r="A934" i="1"/>
  <c r="B934" i="1"/>
  <c r="C934" i="1"/>
  <c r="D934" i="1"/>
  <c r="E934" i="1"/>
  <c r="F934" i="1"/>
  <c r="G934" i="1"/>
  <c r="H934" i="1"/>
  <c r="I934" i="1"/>
  <c r="J934" i="1"/>
  <c r="K934" i="1"/>
  <c r="L934" i="1"/>
  <c r="M934" i="1"/>
  <c r="A935" i="1"/>
  <c r="B935" i="1"/>
  <c r="C935" i="1"/>
  <c r="D935" i="1"/>
  <c r="E935" i="1"/>
  <c r="F935" i="1"/>
  <c r="G935" i="1"/>
  <c r="H935" i="1"/>
  <c r="I935" i="1"/>
  <c r="J935" i="1"/>
  <c r="K935" i="1"/>
  <c r="L935" i="1"/>
  <c r="M935" i="1"/>
  <c r="A936" i="1"/>
  <c r="B936" i="1"/>
  <c r="C936" i="1"/>
  <c r="D936" i="1"/>
  <c r="E936" i="1"/>
  <c r="F936" i="1"/>
  <c r="G936" i="1"/>
  <c r="H936" i="1"/>
  <c r="I936" i="1"/>
  <c r="J936" i="1"/>
  <c r="K936" i="1"/>
  <c r="L936" i="1"/>
  <c r="M936" i="1"/>
  <c r="A937" i="1"/>
  <c r="B937" i="1"/>
  <c r="C937" i="1"/>
  <c r="D937" i="1"/>
  <c r="E937" i="1"/>
  <c r="F937" i="1"/>
  <c r="G937" i="1"/>
  <c r="H937" i="1"/>
  <c r="I937" i="1"/>
  <c r="J937" i="1"/>
  <c r="K937" i="1"/>
  <c r="L937" i="1"/>
  <c r="M937" i="1"/>
  <c r="A938" i="1"/>
  <c r="B938" i="1"/>
  <c r="C938" i="1"/>
  <c r="D938" i="1"/>
  <c r="E938" i="1"/>
  <c r="F938" i="1"/>
  <c r="G938" i="1"/>
  <c r="H938" i="1"/>
  <c r="I938" i="1"/>
  <c r="J938" i="1"/>
  <c r="K938" i="1"/>
  <c r="L938" i="1"/>
  <c r="M938" i="1"/>
  <c r="A939" i="1"/>
  <c r="B939" i="1"/>
  <c r="C939" i="1"/>
  <c r="D939" i="1"/>
  <c r="E939" i="1"/>
  <c r="F939" i="1"/>
  <c r="G939" i="1"/>
  <c r="H939" i="1"/>
  <c r="I939" i="1"/>
  <c r="J939" i="1"/>
  <c r="K939" i="1"/>
  <c r="L939" i="1"/>
  <c r="M939" i="1"/>
  <c r="A940" i="1"/>
  <c r="B940" i="1"/>
  <c r="C940" i="1"/>
  <c r="D940" i="1"/>
  <c r="E940" i="1"/>
  <c r="F940" i="1"/>
  <c r="G940" i="1"/>
  <c r="H940" i="1"/>
  <c r="I940" i="1"/>
  <c r="J940" i="1"/>
  <c r="K940" i="1"/>
  <c r="L940" i="1"/>
  <c r="M940" i="1"/>
  <c r="A941" i="1"/>
  <c r="B941" i="1"/>
  <c r="C941" i="1"/>
  <c r="D941" i="1"/>
  <c r="E941" i="1"/>
  <c r="F941" i="1"/>
  <c r="G941" i="1"/>
  <c r="H941" i="1"/>
  <c r="I941" i="1"/>
  <c r="J941" i="1"/>
  <c r="K941" i="1"/>
  <c r="L941" i="1"/>
  <c r="M941" i="1"/>
  <c r="A942" i="1"/>
  <c r="B942" i="1"/>
  <c r="C942" i="1"/>
  <c r="D942" i="1"/>
  <c r="E942" i="1"/>
  <c r="F942" i="1"/>
  <c r="G942" i="1"/>
  <c r="H942" i="1"/>
  <c r="I942" i="1"/>
  <c r="J942" i="1"/>
  <c r="K942" i="1"/>
  <c r="L942" i="1"/>
  <c r="M942" i="1"/>
  <c r="A943" i="1"/>
  <c r="B943" i="1"/>
  <c r="C943" i="1"/>
  <c r="D943" i="1"/>
  <c r="E943" i="1"/>
  <c r="F943" i="1"/>
  <c r="G943" i="1"/>
  <c r="H943" i="1"/>
  <c r="I943" i="1"/>
  <c r="J943" i="1"/>
  <c r="K943" i="1"/>
  <c r="L943" i="1"/>
  <c r="M943" i="1"/>
  <c r="A944" i="1"/>
  <c r="B944" i="1"/>
  <c r="C944" i="1"/>
  <c r="D944" i="1"/>
  <c r="E944" i="1"/>
  <c r="F944" i="1"/>
  <c r="G944" i="1"/>
  <c r="H944" i="1"/>
  <c r="I944" i="1"/>
  <c r="J944" i="1"/>
  <c r="K944" i="1"/>
  <c r="L944" i="1"/>
  <c r="M944" i="1"/>
  <c r="A945" i="1"/>
  <c r="B945" i="1"/>
  <c r="C945" i="1"/>
  <c r="D945" i="1"/>
  <c r="E945" i="1"/>
  <c r="F945" i="1"/>
  <c r="G945" i="1"/>
  <c r="H945" i="1"/>
  <c r="I945" i="1"/>
  <c r="J945" i="1"/>
  <c r="K945" i="1"/>
  <c r="L945" i="1"/>
  <c r="M945" i="1"/>
  <c r="A946" i="1"/>
  <c r="B946" i="1"/>
  <c r="C946" i="1"/>
  <c r="D946" i="1"/>
  <c r="E946" i="1"/>
  <c r="F946" i="1"/>
  <c r="G946" i="1"/>
  <c r="H946" i="1"/>
  <c r="I946" i="1"/>
  <c r="J946" i="1"/>
  <c r="K946" i="1"/>
  <c r="L946" i="1"/>
  <c r="M946" i="1"/>
  <c r="A947" i="1"/>
  <c r="B947" i="1"/>
  <c r="C947" i="1"/>
  <c r="D947" i="1"/>
  <c r="E947" i="1"/>
  <c r="F947" i="1"/>
  <c r="G947" i="1"/>
  <c r="H947" i="1"/>
  <c r="I947" i="1"/>
  <c r="J947" i="1"/>
  <c r="K947" i="1"/>
  <c r="L947" i="1"/>
  <c r="M947" i="1"/>
  <c r="A948" i="1"/>
  <c r="B948" i="1"/>
  <c r="C948" i="1"/>
  <c r="D948" i="1"/>
  <c r="E948" i="1"/>
  <c r="F948" i="1"/>
  <c r="G948" i="1"/>
  <c r="H948" i="1"/>
  <c r="I948" i="1"/>
  <c r="J948" i="1"/>
  <c r="K948" i="1"/>
  <c r="L948" i="1"/>
  <c r="M948" i="1"/>
  <c r="A949" i="1"/>
  <c r="B949" i="1"/>
  <c r="C949" i="1"/>
  <c r="D949" i="1"/>
  <c r="E949" i="1"/>
  <c r="F949" i="1"/>
  <c r="G949" i="1"/>
  <c r="H949" i="1"/>
  <c r="I949" i="1"/>
  <c r="J949" i="1"/>
  <c r="K949" i="1"/>
  <c r="L949" i="1"/>
  <c r="M949" i="1"/>
  <c r="A950" i="1"/>
  <c r="B950" i="1"/>
  <c r="C950" i="1"/>
  <c r="D950" i="1"/>
  <c r="E950" i="1"/>
  <c r="F950" i="1"/>
  <c r="G950" i="1"/>
  <c r="H950" i="1"/>
  <c r="I950" i="1"/>
  <c r="J950" i="1"/>
  <c r="K950" i="1"/>
  <c r="L950" i="1"/>
  <c r="M950" i="1"/>
  <c r="A951" i="1"/>
  <c r="B951" i="1"/>
  <c r="C951" i="1"/>
  <c r="D951" i="1"/>
  <c r="E951" i="1"/>
  <c r="F951" i="1"/>
  <c r="G951" i="1"/>
  <c r="H951" i="1"/>
  <c r="I951" i="1"/>
  <c r="J951" i="1"/>
  <c r="K951" i="1"/>
  <c r="L951" i="1"/>
  <c r="M951" i="1"/>
  <c r="A952" i="1"/>
  <c r="B952" i="1"/>
  <c r="C952" i="1"/>
  <c r="D952" i="1"/>
  <c r="E952" i="1"/>
  <c r="F952" i="1"/>
  <c r="G952" i="1"/>
  <c r="H952" i="1"/>
  <c r="I952" i="1"/>
  <c r="J952" i="1"/>
  <c r="K952" i="1"/>
  <c r="L952" i="1"/>
  <c r="M952" i="1"/>
  <c r="A953" i="1"/>
  <c r="B953" i="1"/>
  <c r="C953" i="1"/>
  <c r="D953" i="1"/>
  <c r="E953" i="1"/>
  <c r="F953" i="1"/>
  <c r="G953" i="1"/>
  <c r="H953" i="1"/>
  <c r="I953" i="1"/>
  <c r="J953" i="1"/>
  <c r="K953" i="1"/>
  <c r="L953" i="1"/>
  <c r="M953" i="1"/>
  <c r="A954" i="1"/>
  <c r="B954" i="1"/>
  <c r="C954" i="1"/>
  <c r="D954" i="1"/>
  <c r="E954" i="1"/>
  <c r="F954" i="1"/>
  <c r="G954" i="1"/>
  <c r="H954" i="1"/>
  <c r="I954" i="1"/>
  <c r="J954" i="1"/>
  <c r="K954" i="1"/>
  <c r="L954" i="1"/>
  <c r="M954" i="1"/>
  <c r="A955" i="1"/>
  <c r="B955" i="1"/>
  <c r="C955" i="1"/>
  <c r="D955" i="1"/>
  <c r="E955" i="1"/>
  <c r="F955" i="1"/>
  <c r="G955" i="1"/>
  <c r="H955" i="1"/>
  <c r="I955" i="1"/>
  <c r="J955" i="1"/>
  <c r="K955" i="1"/>
  <c r="L955" i="1"/>
  <c r="M955" i="1"/>
  <c r="A956" i="1"/>
  <c r="B956" i="1"/>
  <c r="C956" i="1"/>
  <c r="D956" i="1"/>
  <c r="E956" i="1"/>
  <c r="F956" i="1"/>
  <c r="G956" i="1"/>
  <c r="H956" i="1"/>
  <c r="I956" i="1"/>
  <c r="J956" i="1"/>
  <c r="K956" i="1"/>
  <c r="L956" i="1"/>
  <c r="M956" i="1"/>
  <c r="A957" i="1"/>
  <c r="B957" i="1"/>
  <c r="C957" i="1"/>
  <c r="D957" i="1"/>
  <c r="E957" i="1"/>
  <c r="F957" i="1"/>
  <c r="G957" i="1"/>
  <c r="H957" i="1"/>
  <c r="I957" i="1"/>
  <c r="J957" i="1"/>
  <c r="K957" i="1"/>
  <c r="L957" i="1"/>
  <c r="M957" i="1"/>
  <c r="A958" i="1"/>
  <c r="B958" i="1"/>
  <c r="C958" i="1"/>
  <c r="D958" i="1"/>
  <c r="E958" i="1"/>
  <c r="F958" i="1"/>
  <c r="G958" i="1"/>
  <c r="H958" i="1"/>
  <c r="I958" i="1"/>
  <c r="J958" i="1"/>
  <c r="K958" i="1"/>
  <c r="L958" i="1"/>
  <c r="M958" i="1"/>
  <c r="A959" i="1"/>
  <c r="B959" i="1"/>
  <c r="C959" i="1"/>
  <c r="D959" i="1"/>
  <c r="E959" i="1"/>
  <c r="F959" i="1"/>
  <c r="G959" i="1"/>
  <c r="H959" i="1"/>
  <c r="I959" i="1"/>
  <c r="J959" i="1"/>
  <c r="K959" i="1"/>
  <c r="L959" i="1"/>
  <c r="M959" i="1"/>
  <c r="A960" i="1"/>
  <c r="B960" i="1"/>
  <c r="C960" i="1"/>
  <c r="D960" i="1"/>
  <c r="E960" i="1"/>
  <c r="F960" i="1"/>
  <c r="G960" i="1"/>
  <c r="H960" i="1"/>
  <c r="I960" i="1"/>
  <c r="J960" i="1"/>
  <c r="K960" i="1"/>
  <c r="L960" i="1"/>
  <c r="M960" i="1"/>
  <c r="A961" i="1"/>
  <c r="B961" i="1"/>
  <c r="C961" i="1"/>
  <c r="D961" i="1"/>
  <c r="E961" i="1"/>
  <c r="F961" i="1"/>
  <c r="G961" i="1"/>
  <c r="H961" i="1"/>
  <c r="I961" i="1"/>
  <c r="J961" i="1"/>
  <c r="K961" i="1"/>
  <c r="L961" i="1"/>
  <c r="M961" i="1"/>
  <c r="A962" i="1"/>
  <c r="B962" i="1"/>
  <c r="C962" i="1"/>
  <c r="D962" i="1"/>
  <c r="E962" i="1"/>
  <c r="F962" i="1"/>
  <c r="G962" i="1"/>
  <c r="H962" i="1"/>
  <c r="I962" i="1"/>
  <c r="J962" i="1"/>
  <c r="K962" i="1"/>
  <c r="L962" i="1"/>
  <c r="M962" i="1"/>
  <c r="A963" i="1"/>
  <c r="B963" i="1"/>
  <c r="C963" i="1"/>
  <c r="D963" i="1"/>
  <c r="E963" i="1"/>
  <c r="F963" i="1"/>
  <c r="G963" i="1"/>
  <c r="H963" i="1"/>
  <c r="I963" i="1"/>
  <c r="J963" i="1"/>
  <c r="K963" i="1"/>
  <c r="L963" i="1"/>
  <c r="M963" i="1"/>
  <c r="A964" i="1"/>
  <c r="B964" i="1"/>
  <c r="C964" i="1"/>
  <c r="D964" i="1"/>
  <c r="E964" i="1"/>
  <c r="F964" i="1"/>
  <c r="G964" i="1"/>
  <c r="H964" i="1"/>
  <c r="I964" i="1"/>
  <c r="J964" i="1"/>
  <c r="K964" i="1"/>
  <c r="L964" i="1"/>
  <c r="M964" i="1"/>
  <c r="A965" i="1"/>
  <c r="B965" i="1"/>
  <c r="C965" i="1"/>
  <c r="D965" i="1"/>
  <c r="E965" i="1"/>
  <c r="F965" i="1"/>
  <c r="G965" i="1"/>
  <c r="H965" i="1"/>
  <c r="I965" i="1"/>
  <c r="J965" i="1"/>
  <c r="K965" i="1"/>
  <c r="L965" i="1"/>
  <c r="M965" i="1"/>
  <c r="A966" i="1"/>
  <c r="B966" i="1"/>
  <c r="C966" i="1"/>
  <c r="D966" i="1"/>
  <c r="E966" i="1"/>
  <c r="F966" i="1"/>
  <c r="G966" i="1"/>
  <c r="H966" i="1"/>
  <c r="I966" i="1"/>
  <c r="J966" i="1"/>
  <c r="K966" i="1"/>
  <c r="L966" i="1"/>
  <c r="M966" i="1"/>
  <c r="A967" i="1"/>
  <c r="B967" i="1"/>
  <c r="C967" i="1"/>
  <c r="D967" i="1"/>
  <c r="E967" i="1"/>
  <c r="F967" i="1"/>
  <c r="G967" i="1"/>
  <c r="H967" i="1"/>
  <c r="I967" i="1"/>
  <c r="J967" i="1"/>
  <c r="K967" i="1"/>
  <c r="L967" i="1"/>
  <c r="M967" i="1"/>
  <c r="A968" i="1"/>
  <c r="B968" i="1"/>
  <c r="C968" i="1"/>
  <c r="D968" i="1"/>
  <c r="E968" i="1"/>
  <c r="F968" i="1"/>
  <c r="G968" i="1"/>
  <c r="H968" i="1"/>
  <c r="I968" i="1"/>
  <c r="J968" i="1"/>
  <c r="K968" i="1"/>
  <c r="L968" i="1"/>
  <c r="M968" i="1"/>
  <c r="A969" i="1"/>
  <c r="B969" i="1"/>
  <c r="C969" i="1"/>
  <c r="D969" i="1"/>
  <c r="E969" i="1"/>
  <c r="F969" i="1"/>
  <c r="G969" i="1"/>
  <c r="H969" i="1"/>
  <c r="I969" i="1"/>
  <c r="J969" i="1"/>
  <c r="K969" i="1"/>
  <c r="L969" i="1"/>
  <c r="M969" i="1"/>
  <c r="A970" i="1"/>
  <c r="B970" i="1"/>
  <c r="C970" i="1"/>
  <c r="D970" i="1"/>
  <c r="E970" i="1"/>
  <c r="F970" i="1"/>
  <c r="G970" i="1"/>
  <c r="H970" i="1"/>
  <c r="I970" i="1"/>
  <c r="J970" i="1"/>
  <c r="K970" i="1"/>
  <c r="L970" i="1"/>
  <c r="M970" i="1"/>
  <c r="A971" i="1"/>
  <c r="B971" i="1"/>
  <c r="C971" i="1"/>
  <c r="D971" i="1"/>
  <c r="E971" i="1"/>
  <c r="F971" i="1"/>
  <c r="G971" i="1"/>
  <c r="H971" i="1"/>
  <c r="I971" i="1"/>
  <c r="J971" i="1"/>
  <c r="K971" i="1"/>
  <c r="L971" i="1"/>
  <c r="M971" i="1"/>
  <c r="A972" i="1"/>
  <c r="B972" i="1"/>
  <c r="C972" i="1"/>
  <c r="D972" i="1"/>
  <c r="E972" i="1"/>
  <c r="F972" i="1"/>
  <c r="G972" i="1"/>
  <c r="H972" i="1"/>
  <c r="I972" i="1"/>
  <c r="J972" i="1"/>
  <c r="K972" i="1"/>
  <c r="L972" i="1"/>
  <c r="M972" i="1"/>
  <c r="A973" i="1"/>
  <c r="B973" i="1"/>
  <c r="C973" i="1"/>
  <c r="D973" i="1"/>
  <c r="E973" i="1"/>
  <c r="F973" i="1"/>
  <c r="G973" i="1"/>
  <c r="H973" i="1"/>
  <c r="I973" i="1"/>
  <c r="J973" i="1"/>
  <c r="K973" i="1"/>
  <c r="L973" i="1"/>
  <c r="M973" i="1"/>
  <c r="A974" i="1"/>
  <c r="B974" i="1"/>
  <c r="C974" i="1"/>
  <c r="D974" i="1"/>
  <c r="E974" i="1"/>
  <c r="F974" i="1"/>
  <c r="G974" i="1"/>
  <c r="H974" i="1"/>
  <c r="I974" i="1"/>
  <c r="J974" i="1"/>
  <c r="K974" i="1"/>
  <c r="L974" i="1"/>
  <c r="M974" i="1"/>
  <c r="A975" i="1"/>
  <c r="B975" i="1"/>
  <c r="C975" i="1"/>
  <c r="D975" i="1"/>
  <c r="E975" i="1"/>
  <c r="F975" i="1"/>
  <c r="G975" i="1"/>
  <c r="H975" i="1"/>
  <c r="I975" i="1"/>
  <c r="J975" i="1"/>
  <c r="K975" i="1"/>
  <c r="L975" i="1"/>
  <c r="M975" i="1"/>
  <c r="A976" i="1"/>
  <c r="B976" i="1"/>
  <c r="C976" i="1"/>
  <c r="D976" i="1"/>
  <c r="E976" i="1"/>
  <c r="F976" i="1"/>
  <c r="G976" i="1"/>
  <c r="H976" i="1"/>
  <c r="I976" i="1"/>
  <c r="J976" i="1"/>
  <c r="K976" i="1"/>
  <c r="L976" i="1"/>
  <c r="M976" i="1"/>
  <c r="A977" i="1"/>
  <c r="B977" i="1"/>
  <c r="C977" i="1"/>
  <c r="D977" i="1"/>
  <c r="E977" i="1"/>
  <c r="F977" i="1"/>
  <c r="G977" i="1"/>
  <c r="H977" i="1"/>
  <c r="I977" i="1"/>
  <c r="J977" i="1"/>
  <c r="K977" i="1"/>
  <c r="L977" i="1"/>
  <c r="M977" i="1"/>
  <c r="A978" i="1"/>
  <c r="B978" i="1"/>
  <c r="C978" i="1"/>
  <c r="D978" i="1"/>
  <c r="E978" i="1"/>
  <c r="F978" i="1"/>
  <c r="G978" i="1"/>
  <c r="H978" i="1"/>
  <c r="I978" i="1"/>
  <c r="J978" i="1"/>
  <c r="K978" i="1"/>
  <c r="L978" i="1"/>
  <c r="M978" i="1"/>
  <c r="A979" i="1"/>
  <c r="B979" i="1"/>
  <c r="C979" i="1"/>
  <c r="D979" i="1"/>
  <c r="E979" i="1"/>
  <c r="F979" i="1"/>
  <c r="G979" i="1"/>
  <c r="H979" i="1"/>
  <c r="I979" i="1"/>
  <c r="J979" i="1"/>
  <c r="K979" i="1"/>
  <c r="L979" i="1"/>
  <c r="M979" i="1"/>
  <c r="A980" i="1"/>
  <c r="B980" i="1"/>
  <c r="C980" i="1"/>
  <c r="D980" i="1"/>
  <c r="E980" i="1"/>
  <c r="F980" i="1"/>
  <c r="G980" i="1"/>
  <c r="H980" i="1"/>
  <c r="I980" i="1"/>
  <c r="J980" i="1"/>
  <c r="K980" i="1"/>
  <c r="L980" i="1"/>
  <c r="M980" i="1"/>
  <c r="A981" i="1"/>
  <c r="B981" i="1"/>
  <c r="C981" i="1"/>
  <c r="D981" i="1"/>
  <c r="E981" i="1"/>
  <c r="F981" i="1"/>
  <c r="G981" i="1"/>
  <c r="H981" i="1"/>
  <c r="I981" i="1"/>
  <c r="J981" i="1"/>
  <c r="K981" i="1"/>
  <c r="L981" i="1"/>
  <c r="M981" i="1"/>
  <c r="A982" i="1"/>
  <c r="B982" i="1"/>
  <c r="C982" i="1"/>
  <c r="D982" i="1"/>
  <c r="E982" i="1"/>
  <c r="F982" i="1"/>
  <c r="G982" i="1"/>
  <c r="H982" i="1"/>
  <c r="I982" i="1"/>
  <c r="J982" i="1"/>
  <c r="K982" i="1"/>
  <c r="L982" i="1"/>
  <c r="M982" i="1"/>
  <c r="A983" i="1"/>
  <c r="B983" i="1"/>
  <c r="C983" i="1"/>
  <c r="D983" i="1"/>
  <c r="E983" i="1"/>
  <c r="F983" i="1"/>
  <c r="G983" i="1"/>
  <c r="H983" i="1"/>
  <c r="I983" i="1"/>
  <c r="J983" i="1"/>
  <c r="K983" i="1"/>
  <c r="L983" i="1"/>
  <c r="M983" i="1"/>
  <c r="A984" i="1"/>
  <c r="B984" i="1"/>
  <c r="C984" i="1"/>
  <c r="D984" i="1"/>
  <c r="E984" i="1"/>
  <c r="F984" i="1"/>
  <c r="G984" i="1"/>
  <c r="H984" i="1"/>
  <c r="I984" i="1"/>
  <c r="J984" i="1"/>
  <c r="K984" i="1"/>
  <c r="L984" i="1"/>
  <c r="M984" i="1"/>
  <c r="A985" i="1"/>
  <c r="B985" i="1"/>
  <c r="C985" i="1"/>
  <c r="D985" i="1"/>
  <c r="E985" i="1"/>
  <c r="F985" i="1"/>
  <c r="G985" i="1"/>
  <c r="H985" i="1"/>
  <c r="I985" i="1"/>
  <c r="J985" i="1"/>
  <c r="K985" i="1"/>
  <c r="L985" i="1"/>
  <c r="M985" i="1"/>
  <c r="A986" i="1"/>
  <c r="B986" i="1"/>
  <c r="C986" i="1"/>
  <c r="D986" i="1"/>
  <c r="E986" i="1"/>
  <c r="F986" i="1"/>
  <c r="G986" i="1"/>
  <c r="H986" i="1"/>
  <c r="I986" i="1"/>
  <c r="J986" i="1"/>
  <c r="K986" i="1"/>
  <c r="L986" i="1"/>
  <c r="M986" i="1"/>
  <c r="A987" i="1"/>
  <c r="B987" i="1"/>
  <c r="C987" i="1"/>
  <c r="D987" i="1"/>
  <c r="E987" i="1"/>
  <c r="F987" i="1"/>
  <c r="G987" i="1"/>
  <c r="H987" i="1"/>
  <c r="I987" i="1"/>
  <c r="J987" i="1"/>
  <c r="K987" i="1"/>
  <c r="L987" i="1"/>
  <c r="M987" i="1"/>
  <c r="A988" i="1"/>
  <c r="B988" i="1"/>
  <c r="C988" i="1"/>
  <c r="D988" i="1"/>
  <c r="E988" i="1"/>
  <c r="F988" i="1"/>
  <c r="G988" i="1"/>
  <c r="H988" i="1"/>
  <c r="I988" i="1"/>
  <c r="J988" i="1"/>
  <c r="K988" i="1"/>
  <c r="L988" i="1"/>
  <c r="M988" i="1"/>
  <c r="A989" i="1"/>
  <c r="B989" i="1"/>
  <c r="C989" i="1"/>
  <c r="D989" i="1"/>
  <c r="E989" i="1"/>
  <c r="F989" i="1"/>
  <c r="G989" i="1"/>
  <c r="H989" i="1"/>
  <c r="I989" i="1"/>
  <c r="J989" i="1"/>
  <c r="K989" i="1"/>
  <c r="L989" i="1"/>
  <c r="M989" i="1"/>
  <c r="A990" i="1"/>
  <c r="B990" i="1"/>
  <c r="C990" i="1"/>
  <c r="D990" i="1"/>
  <c r="E990" i="1"/>
  <c r="F990" i="1"/>
  <c r="G990" i="1"/>
  <c r="H990" i="1"/>
  <c r="I990" i="1"/>
  <c r="J990" i="1"/>
  <c r="K990" i="1"/>
  <c r="L990" i="1"/>
  <c r="M990" i="1"/>
  <c r="A991" i="1"/>
  <c r="B991" i="1"/>
  <c r="C991" i="1"/>
  <c r="D991" i="1"/>
  <c r="E991" i="1"/>
  <c r="F991" i="1"/>
  <c r="G991" i="1"/>
  <c r="H991" i="1"/>
  <c r="I991" i="1"/>
  <c r="J991" i="1"/>
  <c r="K991" i="1"/>
  <c r="L991" i="1"/>
  <c r="M991" i="1"/>
  <c r="A992" i="1"/>
  <c r="B992" i="1"/>
  <c r="C992" i="1"/>
  <c r="D992" i="1"/>
  <c r="E992" i="1"/>
  <c r="F992" i="1"/>
  <c r="G992" i="1"/>
  <c r="H992" i="1"/>
  <c r="I992" i="1"/>
  <c r="J992" i="1"/>
  <c r="K992" i="1"/>
  <c r="L992" i="1"/>
  <c r="M992" i="1"/>
  <c r="A993" i="1"/>
  <c r="B993" i="1"/>
  <c r="C993" i="1"/>
  <c r="D993" i="1"/>
  <c r="E993" i="1"/>
  <c r="F993" i="1"/>
  <c r="G993" i="1"/>
  <c r="H993" i="1"/>
  <c r="I993" i="1"/>
  <c r="J993" i="1"/>
  <c r="K993" i="1"/>
  <c r="L993" i="1"/>
  <c r="M993" i="1"/>
  <c r="A994" i="1"/>
  <c r="B994" i="1"/>
  <c r="C994" i="1"/>
  <c r="D994" i="1"/>
  <c r="E994" i="1"/>
  <c r="F994" i="1"/>
  <c r="G994" i="1"/>
  <c r="H994" i="1"/>
  <c r="I994" i="1"/>
  <c r="J994" i="1"/>
  <c r="K994" i="1"/>
  <c r="L994" i="1"/>
  <c r="M994" i="1"/>
  <c r="A995" i="1"/>
  <c r="B995" i="1"/>
  <c r="C995" i="1"/>
  <c r="D995" i="1"/>
  <c r="E995" i="1"/>
  <c r="F995" i="1"/>
  <c r="G995" i="1"/>
  <c r="H995" i="1"/>
  <c r="I995" i="1"/>
  <c r="J995" i="1"/>
  <c r="K995" i="1"/>
  <c r="L995" i="1"/>
  <c r="M995" i="1"/>
  <c r="A996" i="1"/>
  <c r="B996" i="1"/>
  <c r="C996" i="1"/>
  <c r="D996" i="1"/>
  <c r="E996" i="1"/>
  <c r="F996" i="1"/>
  <c r="G996" i="1"/>
  <c r="H996" i="1"/>
  <c r="I996" i="1"/>
  <c r="J996" i="1"/>
  <c r="K996" i="1"/>
  <c r="L996" i="1"/>
  <c r="M996" i="1"/>
  <c r="A997" i="1"/>
  <c r="B997" i="1"/>
  <c r="C997" i="1"/>
  <c r="D997" i="1"/>
  <c r="E997" i="1"/>
  <c r="F997" i="1"/>
  <c r="G997" i="1"/>
  <c r="H997" i="1"/>
  <c r="I997" i="1"/>
  <c r="J997" i="1"/>
  <c r="K997" i="1"/>
  <c r="L997" i="1"/>
  <c r="M997" i="1"/>
  <c r="A998" i="1"/>
  <c r="B998" i="1"/>
  <c r="C998" i="1"/>
  <c r="D998" i="1"/>
  <c r="E998" i="1"/>
  <c r="F998" i="1"/>
  <c r="G998" i="1"/>
  <c r="H998" i="1"/>
  <c r="I998" i="1"/>
  <c r="J998" i="1"/>
  <c r="K998" i="1"/>
  <c r="L998" i="1"/>
  <c r="M998" i="1"/>
  <c r="A999" i="1"/>
  <c r="B999" i="1"/>
  <c r="C999" i="1"/>
  <c r="D999" i="1"/>
  <c r="E999" i="1"/>
  <c r="F999" i="1"/>
  <c r="G999" i="1"/>
  <c r="H999" i="1"/>
  <c r="I999" i="1"/>
  <c r="J999" i="1"/>
  <c r="K999" i="1"/>
  <c r="L999" i="1"/>
  <c r="M999" i="1"/>
  <c r="A1000" i="1"/>
  <c r="B1000" i="1"/>
  <c r="C1000" i="1"/>
  <c r="D1000" i="1"/>
  <c r="E1000" i="1"/>
  <c r="F1000" i="1"/>
  <c r="G1000" i="1"/>
  <c r="H1000" i="1"/>
  <c r="I1000" i="1"/>
  <c r="J1000" i="1"/>
  <c r="K1000" i="1"/>
  <c r="L1000" i="1"/>
  <c r="M1000" i="1"/>
  <c r="A1001" i="1"/>
  <c r="B1001" i="1"/>
  <c r="C1001" i="1"/>
  <c r="D1001" i="1"/>
  <c r="E1001" i="1"/>
  <c r="F1001" i="1"/>
  <c r="G1001" i="1"/>
  <c r="H1001" i="1"/>
  <c r="I1001" i="1"/>
  <c r="J1001" i="1"/>
  <c r="K1001" i="1"/>
  <c r="L1001" i="1"/>
  <c r="M1001" i="1"/>
  <c r="A1002" i="1"/>
  <c r="B1002" i="1"/>
  <c r="C1002" i="1"/>
  <c r="D1002" i="1"/>
  <c r="E1002" i="1"/>
  <c r="F1002" i="1"/>
  <c r="G1002" i="1"/>
  <c r="H1002" i="1"/>
  <c r="I1002" i="1"/>
  <c r="J1002" i="1"/>
  <c r="K1002" i="1"/>
  <c r="L1002" i="1"/>
  <c r="M1002" i="1"/>
  <c r="A1003" i="1"/>
  <c r="B1003" i="1"/>
  <c r="C1003" i="1"/>
  <c r="D1003" i="1"/>
  <c r="E1003" i="1"/>
  <c r="F1003" i="1"/>
  <c r="G1003" i="1"/>
  <c r="H1003" i="1"/>
  <c r="I1003" i="1"/>
  <c r="J1003" i="1"/>
  <c r="K1003" i="1"/>
  <c r="L1003" i="1"/>
  <c r="M1003" i="1"/>
  <c r="A1004" i="1"/>
  <c r="B1004" i="1"/>
  <c r="C1004" i="1"/>
  <c r="D1004" i="1"/>
  <c r="E1004" i="1"/>
  <c r="F1004" i="1"/>
  <c r="G1004" i="1"/>
  <c r="H1004" i="1"/>
  <c r="I1004" i="1"/>
  <c r="J1004" i="1"/>
  <c r="K1004" i="1"/>
  <c r="L1004" i="1"/>
  <c r="M1004" i="1"/>
  <c r="A1005" i="1"/>
  <c r="B1005" i="1"/>
  <c r="C1005" i="1"/>
  <c r="D1005" i="1"/>
  <c r="E1005" i="1"/>
  <c r="F1005" i="1"/>
  <c r="G1005" i="1"/>
  <c r="H1005" i="1"/>
  <c r="I1005" i="1"/>
  <c r="J1005" i="1"/>
  <c r="K1005" i="1"/>
  <c r="L1005" i="1"/>
  <c r="M1005" i="1"/>
  <c r="A1006" i="1"/>
  <c r="B1006" i="1"/>
  <c r="C1006" i="1"/>
  <c r="D1006" i="1"/>
  <c r="E1006" i="1"/>
  <c r="F1006" i="1"/>
  <c r="G1006" i="1"/>
  <c r="H1006" i="1"/>
  <c r="I1006" i="1"/>
  <c r="J1006" i="1"/>
  <c r="K1006" i="1"/>
  <c r="L1006" i="1"/>
  <c r="M1006" i="1"/>
  <c r="A1007" i="1"/>
  <c r="B1007" i="1"/>
  <c r="C1007" i="1"/>
  <c r="D1007" i="1"/>
  <c r="E1007" i="1"/>
  <c r="F1007" i="1"/>
  <c r="G1007" i="1"/>
  <c r="H1007" i="1"/>
  <c r="I1007" i="1"/>
  <c r="J1007" i="1"/>
  <c r="K1007" i="1"/>
  <c r="L1007" i="1"/>
  <c r="M1007" i="1"/>
  <c r="A1008" i="1"/>
  <c r="B1008" i="1"/>
  <c r="C1008" i="1"/>
  <c r="D1008" i="1"/>
  <c r="E1008" i="1"/>
  <c r="F1008" i="1"/>
  <c r="G1008" i="1"/>
  <c r="H1008" i="1"/>
  <c r="I1008" i="1"/>
  <c r="J1008" i="1"/>
  <c r="K1008" i="1"/>
  <c r="L1008" i="1"/>
  <c r="M1008" i="1"/>
  <c r="A1009" i="1"/>
  <c r="B1009" i="1"/>
  <c r="C1009" i="1"/>
  <c r="D1009" i="1"/>
  <c r="E1009" i="1"/>
  <c r="F1009" i="1"/>
  <c r="G1009" i="1"/>
  <c r="H1009" i="1"/>
  <c r="I1009" i="1"/>
  <c r="J1009" i="1"/>
  <c r="K1009" i="1"/>
  <c r="L1009" i="1"/>
  <c r="M1009" i="1"/>
  <c r="A1010" i="1"/>
  <c r="B1010" i="1"/>
  <c r="C1010" i="1"/>
  <c r="D1010" i="1"/>
  <c r="E1010" i="1"/>
  <c r="F1010" i="1"/>
  <c r="G1010" i="1"/>
  <c r="H1010" i="1"/>
  <c r="I1010" i="1"/>
  <c r="J1010" i="1"/>
  <c r="K1010" i="1"/>
  <c r="L1010" i="1"/>
  <c r="M1010" i="1"/>
  <c r="A1011" i="1"/>
  <c r="B1011" i="1"/>
  <c r="C1011" i="1"/>
  <c r="D1011" i="1"/>
  <c r="E1011" i="1"/>
  <c r="F1011" i="1"/>
  <c r="G1011" i="1"/>
  <c r="H1011" i="1"/>
  <c r="I1011" i="1"/>
  <c r="J1011" i="1"/>
  <c r="K1011" i="1"/>
  <c r="L1011" i="1"/>
  <c r="M1011" i="1"/>
  <c r="A1012" i="1"/>
  <c r="B1012" i="1"/>
  <c r="C1012" i="1"/>
  <c r="D1012" i="1"/>
  <c r="E1012" i="1"/>
  <c r="F1012" i="1"/>
  <c r="G1012" i="1"/>
  <c r="H1012" i="1"/>
  <c r="I1012" i="1"/>
  <c r="J1012" i="1"/>
  <c r="K1012" i="1"/>
  <c r="L1012" i="1"/>
  <c r="M1012" i="1"/>
  <c r="A1013" i="1"/>
  <c r="B1013" i="1"/>
  <c r="C1013" i="1"/>
  <c r="D1013" i="1"/>
  <c r="E1013" i="1"/>
  <c r="F1013" i="1"/>
  <c r="G1013" i="1"/>
  <c r="H1013" i="1"/>
  <c r="I1013" i="1"/>
  <c r="J1013" i="1"/>
  <c r="K1013" i="1"/>
  <c r="L1013" i="1"/>
  <c r="M1013" i="1"/>
  <c r="A1014" i="1"/>
  <c r="B1014" i="1"/>
  <c r="C1014" i="1"/>
  <c r="D1014" i="1"/>
  <c r="E1014" i="1"/>
  <c r="F1014" i="1"/>
  <c r="G1014" i="1"/>
  <c r="H1014" i="1"/>
  <c r="I1014" i="1"/>
  <c r="J1014" i="1"/>
  <c r="K1014" i="1"/>
  <c r="L1014" i="1"/>
  <c r="M1014" i="1"/>
  <c r="A1015" i="1"/>
  <c r="B1015" i="1"/>
  <c r="C1015" i="1"/>
  <c r="D1015" i="1"/>
  <c r="E1015" i="1"/>
  <c r="F1015" i="1"/>
  <c r="G1015" i="1"/>
  <c r="H1015" i="1"/>
  <c r="I1015" i="1"/>
  <c r="J1015" i="1"/>
  <c r="K1015" i="1"/>
  <c r="L1015" i="1"/>
  <c r="M1015" i="1"/>
  <c r="A1016" i="1"/>
  <c r="B1016" i="1"/>
  <c r="C1016" i="1"/>
  <c r="D1016" i="1"/>
  <c r="E1016" i="1"/>
  <c r="F1016" i="1"/>
  <c r="G1016" i="1"/>
  <c r="H1016" i="1"/>
  <c r="I1016" i="1"/>
  <c r="J1016" i="1"/>
  <c r="K1016" i="1"/>
  <c r="L1016" i="1"/>
  <c r="M1016" i="1"/>
  <c r="A1017" i="1"/>
  <c r="B1017" i="1"/>
  <c r="C1017" i="1"/>
  <c r="D1017" i="1"/>
  <c r="E1017" i="1"/>
  <c r="F1017" i="1"/>
  <c r="G1017" i="1"/>
  <c r="H1017" i="1"/>
  <c r="I1017" i="1"/>
  <c r="J1017" i="1"/>
  <c r="K1017" i="1"/>
  <c r="L1017" i="1"/>
  <c r="M1017" i="1"/>
  <c r="A1018" i="1"/>
  <c r="B1018" i="1"/>
  <c r="C1018" i="1"/>
  <c r="D1018" i="1"/>
  <c r="E1018" i="1"/>
  <c r="F1018" i="1"/>
  <c r="G1018" i="1"/>
  <c r="H1018" i="1"/>
  <c r="I1018" i="1"/>
  <c r="J1018" i="1"/>
  <c r="K1018" i="1"/>
  <c r="L1018" i="1"/>
  <c r="M1018" i="1"/>
  <c r="A1019" i="1"/>
  <c r="B1019" i="1"/>
  <c r="C1019" i="1"/>
  <c r="D1019" i="1"/>
  <c r="E1019" i="1"/>
  <c r="F1019" i="1"/>
  <c r="G1019" i="1"/>
  <c r="H1019" i="1"/>
  <c r="I1019" i="1"/>
  <c r="J1019" i="1"/>
  <c r="K1019" i="1"/>
  <c r="L1019" i="1"/>
  <c r="M1019" i="1"/>
  <c r="A1020" i="1"/>
  <c r="B1020" i="1"/>
  <c r="C1020" i="1"/>
  <c r="D1020" i="1"/>
  <c r="E1020" i="1"/>
  <c r="F1020" i="1"/>
  <c r="G1020" i="1"/>
  <c r="H1020" i="1"/>
  <c r="I1020" i="1"/>
  <c r="J1020" i="1"/>
  <c r="K1020" i="1"/>
  <c r="L1020" i="1"/>
  <c r="M1020" i="1"/>
  <c r="A1021" i="1"/>
  <c r="B1021" i="1"/>
  <c r="C1021" i="1"/>
  <c r="D1021" i="1"/>
  <c r="E1021" i="1"/>
  <c r="F1021" i="1"/>
  <c r="G1021" i="1"/>
  <c r="H1021" i="1"/>
  <c r="I1021" i="1"/>
  <c r="J1021" i="1"/>
  <c r="K1021" i="1"/>
  <c r="L1021" i="1"/>
  <c r="M1021" i="1"/>
  <c r="A1022" i="1"/>
  <c r="B1022" i="1"/>
  <c r="C1022" i="1"/>
  <c r="D1022" i="1"/>
  <c r="E1022" i="1"/>
  <c r="F1022" i="1"/>
  <c r="G1022" i="1"/>
  <c r="H1022" i="1"/>
  <c r="I1022" i="1"/>
  <c r="J1022" i="1"/>
  <c r="K1022" i="1"/>
  <c r="L1022" i="1"/>
  <c r="M1022" i="1"/>
  <c r="A1023" i="1"/>
  <c r="B1023" i="1"/>
  <c r="C1023" i="1"/>
  <c r="D1023" i="1"/>
  <c r="E1023" i="1"/>
  <c r="F1023" i="1"/>
  <c r="G1023" i="1"/>
  <c r="H1023" i="1"/>
  <c r="I1023" i="1"/>
  <c r="J1023" i="1"/>
  <c r="K1023" i="1"/>
  <c r="L1023" i="1"/>
  <c r="M1023" i="1"/>
  <c r="A1024" i="1"/>
  <c r="B1024" i="1"/>
  <c r="C1024" i="1"/>
  <c r="D1024" i="1"/>
  <c r="E1024" i="1"/>
  <c r="F1024" i="1"/>
  <c r="G1024" i="1"/>
  <c r="H1024" i="1"/>
  <c r="I1024" i="1"/>
  <c r="J1024" i="1"/>
  <c r="K1024" i="1"/>
  <c r="L1024" i="1"/>
  <c r="M1024" i="1"/>
  <c r="A1025" i="1"/>
  <c r="B1025" i="1"/>
  <c r="C1025" i="1"/>
  <c r="D1025" i="1"/>
  <c r="E1025" i="1"/>
  <c r="F1025" i="1"/>
  <c r="G1025" i="1"/>
  <c r="H1025" i="1"/>
  <c r="I1025" i="1"/>
  <c r="J1025" i="1"/>
  <c r="K1025" i="1"/>
  <c r="L1025" i="1"/>
  <c r="M1025" i="1"/>
  <c r="A1026" i="1"/>
  <c r="B1026" i="1"/>
  <c r="C1026" i="1"/>
  <c r="D1026" i="1"/>
  <c r="E1026" i="1"/>
  <c r="F1026" i="1"/>
  <c r="G1026" i="1"/>
  <c r="H1026" i="1"/>
  <c r="I1026" i="1"/>
  <c r="J1026" i="1"/>
  <c r="K1026" i="1"/>
  <c r="L1026" i="1"/>
  <c r="M1026" i="1"/>
  <c r="A1027" i="1"/>
  <c r="B1027" i="1"/>
  <c r="C1027" i="1"/>
  <c r="D1027" i="1"/>
  <c r="E1027" i="1"/>
  <c r="F1027" i="1"/>
  <c r="G1027" i="1"/>
  <c r="H1027" i="1"/>
  <c r="I1027" i="1"/>
  <c r="J1027" i="1"/>
  <c r="K1027" i="1"/>
  <c r="L1027" i="1"/>
  <c r="M1027" i="1"/>
  <c r="A1028" i="1"/>
  <c r="B1028" i="1"/>
  <c r="C1028" i="1"/>
  <c r="D1028" i="1"/>
  <c r="E1028" i="1"/>
  <c r="F1028" i="1"/>
  <c r="G1028" i="1"/>
  <c r="H1028" i="1"/>
  <c r="I1028" i="1"/>
  <c r="J1028" i="1"/>
  <c r="K1028" i="1"/>
  <c r="L1028" i="1"/>
  <c r="M1028" i="1"/>
  <c r="A1029" i="1"/>
  <c r="B1029" i="1"/>
  <c r="C1029" i="1"/>
  <c r="D1029" i="1"/>
  <c r="E1029" i="1"/>
  <c r="F1029" i="1"/>
  <c r="G1029" i="1"/>
  <c r="H1029" i="1"/>
  <c r="I1029" i="1"/>
  <c r="J1029" i="1"/>
  <c r="K1029" i="1"/>
  <c r="L1029" i="1"/>
  <c r="M1029" i="1"/>
  <c r="A1030" i="1"/>
  <c r="B1030" i="1"/>
  <c r="C1030" i="1"/>
  <c r="D1030" i="1"/>
  <c r="E1030" i="1"/>
  <c r="F1030" i="1"/>
  <c r="G1030" i="1"/>
  <c r="H1030" i="1"/>
  <c r="I1030" i="1"/>
  <c r="J1030" i="1"/>
  <c r="K1030" i="1"/>
  <c r="L1030" i="1"/>
  <c r="M1030" i="1"/>
  <c r="A1031" i="1"/>
  <c r="B1031" i="1"/>
  <c r="C1031" i="1"/>
  <c r="D1031" i="1"/>
  <c r="E1031" i="1"/>
  <c r="F1031" i="1"/>
  <c r="G1031" i="1"/>
  <c r="H1031" i="1"/>
  <c r="I1031" i="1"/>
  <c r="J1031" i="1"/>
  <c r="K1031" i="1"/>
  <c r="L1031" i="1"/>
  <c r="M1031" i="1"/>
  <c r="A1032" i="1"/>
  <c r="B1032" i="1"/>
  <c r="C1032" i="1"/>
  <c r="D1032" i="1"/>
  <c r="E1032" i="1"/>
  <c r="F1032" i="1"/>
  <c r="G1032" i="1"/>
  <c r="H1032" i="1"/>
  <c r="I1032" i="1"/>
  <c r="J1032" i="1"/>
  <c r="K1032" i="1"/>
  <c r="L1032" i="1"/>
  <c r="M1032" i="1"/>
  <c r="A1033" i="1"/>
  <c r="B1033" i="1"/>
  <c r="C1033" i="1"/>
  <c r="D1033" i="1"/>
  <c r="E1033" i="1"/>
  <c r="F1033" i="1"/>
  <c r="G1033" i="1"/>
  <c r="H1033" i="1"/>
  <c r="I1033" i="1"/>
  <c r="J1033" i="1"/>
  <c r="K1033" i="1"/>
  <c r="L1033" i="1"/>
  <c r="M1033" i="1"/>
  <c r="A1034" i="1"/>
  <c r="B1034" i="1"/>
  <c r="C1034" i="1"/>
  <c r="D1034" i="1"/>
  <c r="E1034" i="1"/>
  <c r="F1034" i="1"/>
  <c r="G1034" i="1"/>
  <c r="H1034" i="1"/>
  <c r="I1034" i="1"/>
  <c r="J1034" i="1"/>
  <c r="K1034" i="1"/>
  <c r="L1034" i="1"/>
  <c r="M1034" i="1"/>
  <c r="A1035" i="1"/>
  <c r="B1035" i="1"/>
  <c r="C1035" i="1"/>
  <c r="D1035" i="1"/>
  <c r="E1035" i="1"/>
  <c r="F1035" i="1"/>
  <c r="G1035" i="1"/>
  <c r="H1035" i="1"/>
  <c r="I1035" i="1"/>
  <c r="J1035" i="1"/>
  <c r="K1035" i="1"/>
  <c r="L1035" i="1"/>
  <c r="M1035" i="1"/>
  <c r="A1036" i="1"/>
  <c r="B1036" i="1"/>
  <c r="C1036" i="1"/>
  <c r="D1036" i="1"/>
  <c r="E1036" i="1"/>
  <c r="F1036" i="1"/>
  <c r="G1036" i="1"/>
  <c r="H1036" i="1"/>
  <c r="I1036" i="1"/>
  <c r="J1036" i="1"/>
  <c r="K1036" i="1"/>
  <c r="L1036" i="1"/>
  <c r="M1036" i="1"/>
  <c r="A1037" i="1"/>
  <c r="B1037" i="1"/>
  <c r="C1037" i="1"/>
  <c r="D1037" i="1"/>
  <c r="E1037" i="1"/>
  <c r="F1037" i="1"/>
  <c r="G1037" i="1"/>
  <c r="H1037" i="1"/>
  <c r="I1037" i="1"/>
  <c r="J1037" i="1"/>
  <c r="K1037" i="1"/>
  <c r="L1037" i="1"/>
  <c r="M1037" i="1"/>
  <c r="A1038" i="1"/>
  <c r="B1038" i="1"/>
  <c r="C1038" i="1"/>
  <c r="D1038" i="1"/>
  <c r="E1038" i="1"/>
  <c r="F1038" i="1"/>
  <c r="G1038" i="1"/>
  <c r="H1038" i="1"/>
  <c r="I1038" i="1"/>
  <c r="J1038" i="1"/>
  <c r="K1038" i="1"/>
  <c r="L1038" i="1"/>
  <c r="M1038" i="1"/>
  <c r="A1039" i="1"/>
  <c r="B1039" i="1"/>
  <c r="C1039" i="1"/>
  <c r="D1039" i="1"/>
  <c r="E1039" i="1"/>
  <c r="F1039" i="1"/>
  <c r="G1039" i="1"/>
  <c r="H1039" i="1"/>
  <c r="I1039" i="1"/>
  <c r="J1039" i="1"/>
  <c r="K1039" i="1"/>
  <c r="L1039" i="1"/>
  <c r="M1039" i="1"/>
  <c r="A1040" i="1"/>
  <c r="B1040" i="1"/>
  <c r="C1040" i="1"/>
  <c r="D1040" i="1"/>
  <c r="E1040" i="1"/>
  <c r="F1040" i="1"/>
  <c r="G1040" i="1"/>
  <c r="H1040" i="1"/>
  <c r="I1040" i="1"/>
  <c r="J1040" i="1"/>
  <c r="K1040" i="1"/>
  <c r="L1040" i="1"/>
  <c r="M1040" i="1"/>
  <c r="A1041" i="1"/>
  <c r="B1041" i="1"/>
  <c r="C1041" i="1"/>
  <c r="D1041" i="1"/>
  <c r="E1041" i="1"/>
  <c r="F1041" i="1"/>
  <c r="G1041" i="1"/>
  <c r="H1041" i="1"/>
  <c r="I1041" i="1"/>
  <c r="J1041" i="1"/>
  <c r="K1041" i="1"/>
  <c r="L1041" i="1"/>
  <c r="M1041" i="1"/>
  <c r="A1042" i="1"/>
  <c r="B1042" i="1"/>
  <c r="C1042" i="1"/>
  <c r="D1042" i="1"/>
  <c r="E1042" i="1"/>
  <c r="F1042" i="1"/>
  <c r="G1042" i="1"/>
  <c r="H1042" i="1"/>
  <c r="I1042" i="1"/>
  <c r="J1042" i="1"/>
  <c r="K1042" i="1"/>
  <c r="L1042" i="1"/>
  <c r="M1042" i="1"/>
  <c r="A1043" i="1"/>
  <c r="B1043" i="1"/>
  <c r="C1043" i="1"/>
  <c r="D1043" i="1"/>
  <c r="E1043" i="1"/>
  <c r="F1043" i="1"/>
  <c r="G1043" i="1"/>
  <c r="H1043" i="1"/>
  <c r="I1043" i="1"/>
  <c r="J1043" i="1"/>
  <c r="K1043" i="1"/>
  <c r="L1043" i="1"/>
  <c r="M1043" i="1"/>
  <c r="A1044" i="1"/>
  <c r="B1044" i="1"/>
  <c r="C1044" i="1"/>
  <c r="D1044" i="1"/>
  <c r="E1044" i="1"/>
  <c r="F1044" i="1"/>
  <c r="G1044" i="1"/>
  <c r="H1044" i="1"/>
  <c r="I1044" i="1"/>
  <c r="J1044" i="1"/>
  <c r="K1044" i="1"/>
  <c r="L1044" i="1"/>
  <c r="M1044" i="1"/>
  <c r="A1045" i="1"/>
  <c r="B1045" i="1"/>
  <c r="C1045" i="1"/>
  <c r="D1045" i="1"/>
  <c r="E1045" i="1"/>
  <c r="F1045" i="1"/>
  <c r="G1045" i="1"/>
  <c r="H1045" i="1"/>
  <c r="I1045" i="1"/>
  <c r="J1045" i="1"/>
  <c r="K1045" i="1"/>
  <c r="L1045" i="1"/>
  <c r="M1045" i="1"/>
  <c r="A1046" i="1"/>
  <c r="B1046" i="1"/>
  <c r="C1046" i="1"/>
  <c r="D1046" i="1"/>
  <c r="E1046" i="1"/>
  <c r="F1046" i="1"/>
  <c r="G1046" i="1"/>
  <c r="H1046" i="1"/>
  <c r="I1046" i="1"/>
  <c r="J1046" i="1"/>
  <c r="K1046" i="1"/>
  <c r="L1046" i="1"/>
  <c r="M1046" i="1"/>
  <c r="A1047" i="1"/>
  <c r="B1047" i="1"/>
  <c r="C1047" i="1"/>
  <c r="D1047" i="1"/>
  <c r="E1047" i="1"/>
  <c r="F1047" i="1"/>
  <c r="G1047" i="1"/>
  <c r="H1047" i="1"/>
  <c r="I1047" i="1"/>
  <c r="J1047" i="1"/>
  <c r="K1047" i="1"/>
  <c r="L1047" i="1"/>
  <c r="M1047" i="1"/>
  <c r="A1048" i="1"/>
  <c r="B1048" i="1"/>
  <c r="C1048" i="1"/>
  <c r="D1048" i="1"/>
  <c r="E1048" i="1"/>
  <c r="F1048" i="1"/>
  <c r="G1048" i="1"/>
  <c r="H1048" i="1"/>
  <c r="I1048" i="1"/>
  <c r="J1048" i="1"/>
  <c r="K1048" i="1"/>
  <c r="L1048" i="1"/>
  <c r="M1048" i="1"/>
  <c r="A1049" i="1"/>
  <c r="B1049" i="1"/>
  <c r="C1049" i="1"/>
  <c r="D1049" i="1"/>
  <c r="E1049" i="1"/>
  <c r="F1049" i="1"/>
  <c r="G1049" i="1"/>
  <c r="H1049" i="1"/>
  <c r="I1049" i="1"/>
  <c r="J1049" i="1"/>
  <c r="K1049" i="1"/>
  <c r="L1049" i="1"/>
  <c r="M1049" i="1"/>
  <c r="A1050" i="1"/>
  <c r="B1050" i="1"/>
  <c r="C1050" i="1"/>
  <c r="D1050" i="1"/>
  <c r="E1050" i="1"/>
  <c r="F1050" i="1"/>
  <c r="G1050" i="1"/>
  <c r="H1050" i="1"/>
  <c r="I1050" i="1"/>
  <c r="J1050" i="1"/>
  <c r="K1050" i="1"/>
  <c r="L1050" i="1"/>
  <c r="M1050" i="1"/>
  <c r="A1051" i="1"/>
  <c r="B1051" i="1"/>
  <c r="C1051" i="1"/>
  <c r="D1051" i="1"/>
  <c r="E1051" i="1"/>
  <c r="F1051" i="1"/>
  <c r="G1051" i="1"/>
  <c r="H1051" i="1"/>
  <c r="I1051" i="1"/>
  <c r="J1051" i="1"/>
  <c r="K1051" i="1"/>
  <c r="L1051" i="1"/>
  <c r="M1051" i="1"/>
  <c r="A1052" i="1"/>
  <c r="B1052" i="1"/>
  <c r="C1052" i="1"/>
  <c r="D1052" i="1"/>
  <c r="E1052" i="1"/>
  <c r="F1052" i="1"/>
  <c r="G1052" i="1"/>
  <c r="H1052" i="1"/>
  <c r="I1052" i="1"/>
  <c r="J1052" i="1"/>
  <c r="K1052" i="1"/>
  <c r="L1052" i="1"/>
  <c r="M1052" i="1"/>
  <c r="A1053" i="1"/>
  <c r="B1053" i="1"/>
  <c r="C1053" i="1"/>
  <c r="D1053" i="1"/>
  <c r="E1053" i="1"/>
  <c r="F1053" i="1"/>
  <c r="G1053" i="1"/>
  <c r="H1053" i="1"/>
  <c r="I1053" i="1"/>
  <c r="J1053" i="1"/>
  <c r="K1053" i="1"/>
  <c r="L1053" i="1"/>
  <c r="M1053" i="1"/>
  <c r="A1054" i="1"/>
  <c r="B1054" i="1"/>
  <c r="C1054" i="1"/>
  <c r="D1054" i="1"/>
  <c r="E1054" i="1"/>
  <c r="F1054" i="1"/>
  <c r="G1054" i="1"/>
  <c r="H1054" i="1"/>
  <c r="I1054" i="1"/>
  <c r="J1054" i="1"/>
  <c r="K1054" i="1"/>
  <c r="L1054" i="1"/>
  <c r="M1054" i="1"/>
  <c r="A1055" i="1"/>
  <c r="B1055" i="1"/>
  <c r="C1055" i="1"/>
  <c r="D1055" i="1"/>
  <c r="E1055" i="1"/>
  <c r="F1055" i="1"/>
  <c r="G1055" i="1"/>
  <c r="H1055" i="1"/>
  <c r="I1055" i="1"/>
  <c r="J1055" i="1"/>
  <c r="K1055" i="1"/>
  <c r="L1055" i="1"/>
  <c r="M1055" i="1"/>
  <c r="A1056" i="1"/>
  <c r="B1056" i="1"/>
  <c r="C1056" i="1"/>
  <c r="D1056" i="1"/>
  <c r="E1056" i="1"/>
  <c r="F1056" i="1"/>
  <c r="G1056" i="1"/>
  <c r="H1056" i="1"/>
  <c r="I1056" i="1"/>
  <c r="J1056" i="1"/>
  <c r="K1056" i="1"/>
  <c r="L1056" i="1"/>
  <c r="M1056" i="1"/>
  <c r="A1057" i="1"/>
  <c r="B1057" i="1"/>
  <c r="C1057" i="1"/>
  <c r="D1057" i="1"/>
  <c r="E1057" i="1"/>
  <c r="F1057" i="1"/>
  <c r="G1057" i="1"/>
  <c r="H1057" i="1"/>
  <c r="I1057" i="1"/>
  <c r="J1057" i="1"/>
  <c r="K1057" i="1"/>
  <c r="L1057" i="1"/>
  <c r="M1057" i="1"/>
  <c r="A1058" i="1"/>
  <c r="B1058" i="1"/>
  <c r="C1058" i="1"/>
  <c r="D1058" i="1"/>
  <c r="E1058" i="1"/>
  <c r="F1058" i="1"/>
  <c r="G1058" i="1"/>
  <c r="H1058" i="1"/>
  <c r="I1058" i="1"/>
  <c r="J1058" i="1"/>
  <c r="K1058" i="1"/>
  <c r="L1058" i="1"/>
  <c r="M1058" i="1"/>
  <c r="A1059" i="1"/>
  <c r="B1059" i="1"/>
  <c r="C1059" i="1"/>
  <c r="D1059" i="1"/>
  <c r="E1059" i="1"/>
  <c r="F1059" i="1"/>
  <c r="G1059" i="1"/>
  <c r="H1059" i="1"/>
  <c r="I1059" i="1"/>
  <c r="J1059" i="1"/>
  <c r="K1059" i="1"/>
  <c r="L1059" i="1"/>
  <c r="M1059" i="1"/>
  <c r="A1060" i="1"/>
  <c r="B1060" i="1"/>
  <c r="C1060" i="1"/>
  <c r="D1060" i="1"/>
  <c r="E1060" i="1"/>
  <c r="F1060" i="1"/>
  <c r="G1060" i="1"/>
  <c r="H1060" i="1"/>
  <c r="I1060" i="1"/>
  <c r="J1060" i="1"/>
  <c r="K1060" i="1"/>
  <c r="L1060" i="1"/>
  <c r="M1060" i="1"/>
  <c r="A1061" i="1"/>
  <c r="B1061" i="1"/>
  <c r="C1061" i="1"/>
  <c r="D1061" i="1"/>
  <c r="E1061" i="1"/>
  <c r="F1061" i="1"/>
  <c r="G1061" i="1"/>
  <c r="H1061" i="1"/>
  <c r="I1061" i="1"/>
  <c r="J1061" i="1"/>
  <c r="K1061" i="1"/>
  <c r="L1061" i="1"/>
  <c r="M1061" i="1"/>
  <c r="A1062" i="1"/>
  <c r="B1062" i="1"/>
  <c r="C1062" i="1"/>
  <c r="D1062" i="1"/>
  <c r="E1062" i="1"/>
  <c r="F1062" i="1"/>
  <c r="G1062" i="1"/>
  <c r="H1062" i="1"/>
  <c r="I1062" i="1"/>
  <c r="J1062" i="1"/>
  <c r="K1062" i="1"/>
  <c r="L1062" i="1"/>
  <c r="M1062" i="1"/>
  <c r="A1063" i="1"/>
  <c r="B1063" i="1"/>
  <c r="C1063" i="1"/>
  <c r="D1063" i="1"/>
  <c r="E1063" i="1"/>
  <c r="F1063" i="1"/>
  <c r="G1063" i="1"/>
  <c r="H1063" i="1"/>
  <c r="I1063" i="1"/>
  <c r="J1063" i="1"/>
  <c r="K1063" i="1"/>
  <c r="L1063" i="1"/>
  <c r="M1063" i="1"/>
  <c r="A1064" i="1"/>
  <c r="B1064" i="1"/>
  <c r="C1064" i="1"/>
  <c r="D1064" i="1"/>
  <c r="E1064" i="1"/>
  <c r="F1064" i="1"/>
  <c r="G1064" i="1"/>
  <c r="H1064" i="1"/>
  <c r="I1064" i="1"/>
  <c r="J1064" i="1"/>
  <c r="K1064" i="1"/>
  <c r="L1064" i="1"/>
  <c r="M1064" i="1"/>
  <c r="A1065" i="1"/>
  <c r="B1065" i="1"/>
  <c r="C1065" i="1"/>
  <c r="D1065" i="1"/>
  <c r="E1065" i="1"/>
  <c r="F1065" i="1"/>
  <c r="G1065" i="1"/>
  <c r="H1065" i="1"/>
  <c r="I1065" i="1"/>
  <c r="J1065" i="1"/>
  <c r="K1065" i="1"/>
  <c r="L1065" i="1"/>
  <c r="M1065" i="1"/>
  <c r="A1066" i="1"/>
  <c r="B1066" i="1"/>
  <c r="C1066" i="1"/>
  <c r="D1066" i="1"/>
  <c r="E1066" i="1"/>
  <c r="F1066" i="1"/>
  <c r="G1066" i="1"/>
  <c r="H1066" i="1"/>
  <c r="I1066" i="1"/>
  <c r="J1066" i="1"/>
  <c r="K1066" i="1"/>
  <c r="L1066" i="1"/>
  <c r="M1066" i="1"/>
  <c r="A1067" i="1"/>
  <c r="B1067" i="1"/>
  <c r="C1067" i="1"/>
  <c r="D1067" i="1"/>
  <c r="E1067" i="1"/>
  <c r="F1067" i="1"/>
  <c r="G1067" i="1"/>
  <c r="H1067" i="1"/>
  <c r="I1067" i="1"/>
  <c r="J1067" i="1"/>
  <c r="K1067" i="1"/>
  <c r="L1067" i="1"/>
  <c r="M1067" i="1"/>
  <c r="A1068" i="1"/>
  <c r="B1068" i="1"/>
  <c r="C1068" i="1"/>
  <c r="D1068" i="1"/>
  <c r="E1068" i="1"/>
  <c r="F1068" i="1"/>
  <c r="G1068" i="1"/>
  <c r="H1068" i="1"/>
  <c r="I1068" i="1"/>
  <c r="J1068" i="1"/>
  <c r="K1068" i="1"/>
  <c r="L1068" i="1"/>
  <c r="M1068" i="1"/>
  <c r="A1069" i="1"/>
  <c r="B1069" i="1"/>
  <c r="C1069" i="1"/>
  <c r="D1069" i="1"/>
  <c r="E1069" i="1"/>
  <c r="F1069" i="1"/>
  <c r="G1069" i="1"/>
  <c r="H1069" i="1"/>
  <c r="I1069" i="1"/>
  <c r="J1069" i="1"/>
  <c r="K1069" i="1"/>
  <c r="L1069" i="1"/>
  <c r="M1069" i="1"/>
  <c r="A1070" i="1"/>
  <c r="B1070" i="1"/>
  <c r="C1070" i="1"/>
  <c r="D1070" i="1"/>
  <c r="E1070" i="1"/>
  <c r="F1070" i="1"/>
  <c r="G1070" i="1"/>
  <c r="H1070" i="1"/>
  <c r="I1070" i="1"/>
  <c r="J1070" i="1"/>
  <c r="K1070" i="1"/>
  <c r="L1070" i="1"/>
  <c r="M1070" i="1"/>
  <c r="A1071" i="1"/>
  <c r="B1071" i="1"/>
  <c r="C1071" i="1"/>
  <c r="D1071" i="1"/>
  <c r="E1071" i="1"/>
  <c r="F1071" i="1"/>
  <c r="G1071" i="1"/>
  <c r="H1071" i="1"/>
  <c r="I1071" i="1"/>
  <c r="J1071" i="1"/>
  <c r="K1071" i="1"/>
  <c r="L1071" i="1"/>
  <c r="M1071" i="1"/>
  <c r="A1072" i="1"/>
  <c r="B1072" i="1"/>
  <c r="C1072" i="1"/>
  <c r="D1072" i="1"/>
  <c r="E1072" i="1"/>
  <c r="F1072" i="1"/>
  <c r="G1072" i="1"/>
  <c r="H1072" i="1"/>
  <c r="I1072" i="1"/>
  <c r="J1072" i="1"/>
  <c r="K1072" i="1"/>
  <c r="L1072" i="1"/>
  <c r="M1072" i="1"/>
  <c r="A1073" i="1"/>
  <c r="B1073" i="1"/>
  <c r="C1073" i="1"/>
  <c r="D1073" i="1"/>
  <c r="E1073" i="1"/>
  <c r="F1073" i="1"/>
  <c r="G1073" i="1"/>
  <c r="H1073" i="1"/>
  <c r="I1073" i="1"/>
  <c r="J1073" i="1"/>
  <c r="K1073" i="1"/>
  <c r="L1073" i="1"/>
  <c r="M1073" i="1"/>
  <c r="A1074" i="1"/>
  <c r="B1074" i="1"/>
  <c r="C1074" i="1"/>
  <c r="D1074" i="1"/>
  <c r="E1074" i="1"/>
  <c r="F1074" i="1"/>
  <c r="G1074" i="1"/>
  <c r="H1074" i="1"/>
  <c r="I1074" i="1"/>
  <c r="J1074" i="1"/>
  <c r="K1074" i="1"/>
  <c r="L1074" i="1"/>
  <c r="M1074" i="1"/>
  <c r="A1075" i="1"/>
  <c r="B1075" i="1"/>
  <c r="C1075" i="1"/>
  <c r="D1075" i="1"/>
  <c r="E1075" i="1"/>
  <c r="F1075" i="1"/>
  <c r="G1075" i="1"/>
  <c r="H1075" i="1"/>
  <c r="I1075" i="1"/>
  <c r="J1075" i="1"/>
  <c r="K1075" i="1"/>
  <c r="L1075" i="1"/>
  <c r="M1075" i="1"/>
  <c r="A1076" i="1"/>
  <c r="B1076" i="1"/>
  <c r="C1076" i="1"/>
  <c r="D1076" i="1"/>
  <c r="E1076" i="1"/>
  <c r="F1076" i="1"/>
  <c r="G1076" i="1"/>
  <c r="H1076" i="1"/>
  <c r="I1076" i="1"/>
  <c r="J1076" i="1"/>
  <c r="K1076" i="1"/>
  <c r="L1076" i="1"/>
  <c r="M1076" i="1"/>
  <c r="A1077" i="1"/>
  <c r="B1077" i="1"/>
  <c r="C1077" i="1"/>
  <c r="D1077" i="1"/>
  <c r="E1077" i="1"/>
  <c r="F1077" i="1"/>
  <c r="G1077" i="1"/>
  <c r="H1077" i="1"/>
  <c r="I1077" i="1"/>
  <c r="J1077" i="1"/>
  <c r="K1077" i="1"/>
  <c r="L1077" i="1"/>
  <c r="M1077" i="1"/>
  <c r="A1078" i="1"/>
  <c r="B1078" i="1"/>
  <c r="C1078" i="1"/>
  <c r="D1078" i="1"/>
  <c r="E1078" i="1"/>
  <c r="F1078" i="1"/>
  <c r="G1078" i="1"/>
  <c r="H1078" i="1"/>
  <c r="I1078" i="1"/>
  <c r="J1078" i="1"/>
  <c r="K1078" i="1"/>
  <c r="L1078" i="1"/>
  <c r="M1078" i="1"/>
  <c r="A1079" i="1"/>
  <c r="B1079" i="1"/>
  <c r="C1079" i="1"/>
  <c r="D1079" i="1"/>
  <c r="E1079" i="1"/>
  <c r="F1079" i="1"/>
  <c r="G1079" i="1"/>
  <c r="H1079" i="1"/>
  <c r="I1079" i="1"/>
  <c r="J1079" i="1"/>
  <c r="K1079" i="1"/>
  <c r="L1079" i="1"/>
  <c r="M1079" i="1"/>
  <c r="A1080" i="1"/>
  <c r="B1080" i="1"/>
  <c r="C1080" i="1"/>
  <c r="D1080" i="1"/>
  <c r="E1080" i="1"/>
  <c r="F1080" i="1"/>
  <c r="G1080" i="1"/>
  <c r="H1080" i="1"/>
  <c r="I1080" i="1"/>
  <c r="J1080" i="1"/>
  <c r="K1080" i="1"/>
  <c r="L1080" i="1"/>
  <c r="M1080" i="1"/>
  <c r="A1081" i="1"/>
  <c r="B1081" i="1"/>
  <c r="C1081" i="1"/>
  <c r="D1081" i="1"/>
  <c r="E1081" i="1"/>
  <c r="F1081" i="1"/>
  <c r="G1081" i="1"/>
  <c r="H1081" i="1"/>
  <c r="I1081" i="1"/>
  <c r="J1081" i="1"/>
  <c r="K1081" i="1"/>
  <c r="L1081" i="1"/>
  <c r="M1081" i="1"/>
  <c r="A1082" i="1"/>
  <c r="B1082" i="1"/>
  <c r="C1082" i="1"/>
  <c r="D1082" i="1"/>
  <c r="E1082" i="1"/>
  <c r="F1082" i="1"/>
  <c r="G1082" i="1"/>
  <c r="H1082" i="1"/>
  <c r="I1082" i="1"/>
  <c r="J1082" i="1"/>
  <c r="K1082" i="1"/>
  <c r="L1082" i="1"/>
  <c r="M1082" i="1"/>
  <c r="A1083" i="1"/>
  <c r="B1083" i="1"/>
  <c r="C1083" i="1"/>
  <c r="D1083" i="1"/>
  <c r="E1083" i="1"/>
  <c r="F1083" i="1"/>
  <c r="G1083" i="1"/>
  <c r="H1083" i="1"/>
  <c r="I1083" i="1"/>
  <c r="J1083" i="1"/>
  <c r="K1083" i="1"/>
  <c r="L1083" i="1"/>
  <c r="M1083" i="1"/>
  <c r="A1084" i="1"/>
  <c r="B1084" i="1"/>
  <c r="C1084" i="1"/>
  <c r="D1084" i="1"/>
  <c r="E1084" i="1"/>
  <c r="F1084" i="1"/>
  <c r="G1084" i="1"/>
  <c r="H1084" i="1"/>
  <c r="I1084" i="1"/>
  <c r="J1084" i="1"/>
  <c r="K1084" i="1"/>
  <c r="L1084" i="1"/>
  <c r="M1084" i="1"/>
  <c r="A1085" i="1"/>
  <c r="B1085" i="1"/>
  <c r="C1085" i="1"/>
  <c r="D1085" i="1"/>
  <c r="E1085" i="1"/>
  <c r="F1085" i="1"/>
  <c r="G1085" i="1"/>
  <c r="H1085" i="1"/>
  <c r="I1085" i="1"/>
  <c r="J1085" i="1"/>
  <c r="K1085" i="1"/>
  <c r="L1085" i="1"/>
  <c r="M1085" i="1"/>
  <c r="A1086" i="1"/>
  <c r="B1086" i="1"/>
  <c r="C1086" i="1"/>
  <c r="D1086" i="1"/>
  <c r="E1086" i="1"/>
  <c r="F1086" i="1"/>
  <c r="G1086" i="1"/>
  <c r="H1086" i="1"/>
  <c r="I1086" i="1"/>
  <c r="J1086" i="1"/>
  <c r="K1086" i="1"/>
  <c r="L1086" i="1"/>
  <c r="M1086" i="1"/>
  <c r="A1087" i="1"/>
  <c r="B1087" i="1"/>
  <c r="C1087" i="1"/>
  <c r="D1087" i="1"/>
  <c r="E1087" i="1"/>
  <c r="F1087" i="1"/>
  <c r="G1087" i="1"/>
  <c r="H1087" i="1"/>
  <c r="I1087" i="1"/>
  <c r="J1087" i="1"/>
  <c r="K1087" i="1"/>
  <c r="L1087" i="1"/>
  <c r="M1087" i="1"/>
  <c r="A1088" i="1"/>
  <c r="B1088" i="1"/>
  <c r="C1088" i="1"/>
  <c r="D1088" i="1"/>
  <c r="E1088" i="1"/>
  <c r="F1088" i="1"/>
  <c r="G1088" i="1"/>
  <c r="H1088" i="1"/>
  <c r="I1088" i="1"/>
  <c r="J1088" i="1"/>
  <c r="K1088" i="1"/>
  <c r="L1088" i="1"/>
  <c r="M1088" i="1"/>
  <c r="A1089" i="1"/>
  <c r="B1089" i="1"/>
  <c r="C1089" i="1"/>
  <c r="D1089" i="1"/>
  <c r="E1089" i="1"/>
  <c r="F1089" i="1"/>
  <c r="G1089" i="1"/>
  <c r="H1089" i="1"/>
  <c r="I1089" i="1"/>
  <c r="J1089" i="1"/>
  <c r="K1089" i="1"/>
  <c r="L1089" i="1"/>
  <c r="M1089" i="1"/>
  <c r="A1090" i="1"/>
  <c r="B1090" i="1"/>
  <c r="C1090" i="1"/>
  <c r="D1090" i="1"/>
  <c r="E1090" i="1"/>
  <c r="F1090" i="1"/>
  <c r="G1090" i="1"/>
  <c r="H1090" i="1"/>
  <c r="I1090" i="1"/>
  <c r="J1090" i="1"/>
  <c r="K1090" i="1"/>
  <c r="L1090" i="1"/>
  <c r="M1090" i="1"/>
  <c r="A1091" i="1"/>
  <c r="B1091" i="1"/>
  <c r="C1091" i="1"/>
  <c r="D1091" i="1"/>
  <c r="E1091" i="1"/>
  <c r="F1091" i="1"/>
  <c r="G1091" i="1"/>
  <c r="H1091" i="1"/>
  <c r="I1091" i="1"/>
  <c r="J1091" i="1"/>
  <c r="K1091" i="1"/>
  <c r="L1091" i="1"/>
  <c r="M1091" i="1"/>
  <c r="A1092" i="1"/>
  <c r="B1092" i="1"/>
  <c r="C1092" i="1"/>
  <c r="D1092" i="1"/>
  <c r="E1092" i="1"/>
  <c r="F1092" i="1"/>
  <c r="G1092" i="1"/>
  <c r="H1092" i="1"/>
  <c r="I1092" i="1"/>
  <c r="J1092" i="1"/>
  <c r="K1092" i="1"/>
  <c r="L1092" i="1"/>
  <c r="M1092" i="1"/>
  <c r="A1093" i="1"/>
  <c r="B1093" i="1"/>
  <c r="C1093" i="1"/>
  <c r="D1093" i="1"/>
  <c r="E1093" i="1"/>
  <c r="F1093" i="1"/>
  <c r="G1093" i="1"/>
  <c r="H1093" i="1"/>
  <c r="I1093" i="1"/>
  <c r="J1093" i="1"/>
  <c r="K1093" i="1"/>
  <c r="L1093" i="1"/>
  <c r="M1093" i="1"/>
  <c r="A1094" i="1"/>
  <c r="B1094" i="1"/>
  <c r="C1094" i="1"/>
  <c r="D1094" i="1"/>
  <c r="E1094" i="1"/>
  <c r="F1094" i="1"/>
  <c r="G1094" i="1"/>
  <c r="H1094" i="1"/>
  <c r="I1094" i="1"/>
  <c r="J1094" i="1"/>
  <c r="K1094" i="1"/>
  <c r="L1094" i="1"/>
  <c r="M1094" i="1"/>
  <c r="A1095" i="1"/>
  <c r="B1095" i="1"/>
  <c r="C1095" i="1"/>
  <c r="D1095" i="1"/>
  <c r="E1095" i="1"/>
  <c r="F1095" i="1"/>
  <c r="G1095" i="1"/>
  <c r="H1095" i="1"/>
  <c r="I1095" i="1"/>
  <c r="J1095" i="1"/>
  <c r="K1095" i="1"/>
  <c r="L1095" i="1"/>
  <c r="M1095" i="1"/>
  <c r="A1096" i="1"/>
  <c r="B1096" i="1"/>
  <c r="C1096" i="1"/>
  <c r="D1096" i="1"/>
  <c r="E1096" i="1"/>
  <c r="F1096" i="1"/>
  <c r="G1096" i="1"/>
  <c r="H1096" i="1"/>
  <c r="I1096" i="1"/>
  <c r="J1096" i="1"/>
  <c r="K1096" i="1"/>
  <c r="L1096" i="1"/>
  <c r="M1096" i="1"/>
  <c r="A1097" i="1"/>
  <c r="B1097" i="1"/>
  <c r="C1097" i="1"/>
  <c r="D1097" i="1"/>
  <c r="E1097" i="1"/>
  <c r="F1097" i="1"/>
  <c r="G1097" i="1"/>
  <c r="H1097" i="1"/>
  <c r="I1097" i="1"/>
  <c r="J1097" i="1"/>
  <c r="K1097" i="1"/>
  <c r="L1097" i="1"/>
  <c r="M1097" i="1"/>
  <c r="A1098" i="1"/>
  <c r="B1098" i="1"/>
  <c r="C1098" i="1"/>
  <c r="D1098" i="1"/>
  <c r="E1098" i="1"/>
  <c r="F1098" i="1"/>
  <c r="G1098" i="1"/>
  <c r="H1098" i="1"/>
  <c r="I1098" i="1"/>
  <c r="J1098" i="1"/>
  <c r="K1098" i="1"/>
  <c r="L1098" i="1"/>
  <c r="M1098" i="1"/>
  <c r="A1099" i="1"/>
  <c r="B1099" i="1"/>
  <c r="C1099" i="1"/>
  <c r="D1099" i="1"/>
  <c r="E1099" i="1"/>
  <c r="F1099" i="1"/>
  <c r="G1099" i="1"/>
  <c r="H1099" i="1"/>
  <c r="I1099" i="1"/>
  <c r="J1099" i="1"/>
  <c r="K1099" i="1"/>
  <c r="L1099" i="1"/>
  <c r="M1099" i="1"/>
  <c r="A1100" i="1"/>
  <c r="B1100" i="1"/>
  <c r="C1100" i="1"/>
  <c r="D1100" i="1"/>
  <c r="E1100" i="1"/>
  <c r="F1100" i="1"/>
  <c r="G1100" i="1"/>
  <c r="H1100" i="1"/>
  <c r="I1100" i="1"/>
  <c r="J1100" i="1"/>
  <c r="K1100" i="1"/>
  <c r="L1100" i="1"/>
  <c r="M1100" i="1"/>
  <c r="A1101" i="1"/>
  <c r="B1101" i="1"/>
  <c r="C1101" i="1"/>
  <c r="D1101" i="1"/>
  <c r="E1101" i="1"/>
  <c r="F1101" i="1"/>
  <c r="G1101" i="1"/>
  <c r="H1101" i="1"/>
  <c r="I1101" i="1"/>
  <c r="J1101" i="1"/>
  <c r="K1101" i="1"/>
  <c r="L1101" i="1"/>
  <c r="M1101" i="1"/>
  <c r="A1102" i="1"/>
  <c r="B1102" i="1"/>
  <c r="C1102" i="1"/>
  <c r="D1102" i="1"/>
  <c r="E1102" i="1"/>
  <c r="F1102" i="1"/>
  <c r="G1102" i="1"/>
  <c r="H1102" i="1"/>
  <c r="I1102" i="1"/>
  <c r="J1102" i="1"/>
  <c r="K1102" i="1"/>
  <c r="L1102" i="1"/>
  <c r="M1102" i="1"/>
  <c r="A1103" i="1"/>
  <c r="B1103" i="1"/>
  <c r="C1103" i="1"/>
  <c r="D1103" i="1"/>
  <c r="E1103" i="1"/>
  <c r="F1103" i="1"/>
  <c r="G1103" i="1"/>
  <c r="H1103" i="1"/>
  <c r="I1103" i="1"/>
  <c r="J1103" i="1"/>
  <c r="K1103" i="1"/>
  <c r="L1103" i="1"/>
  <c r="M1103" i="1"/>
  <c r="A1104" i="1"/>
  <c r="B1104" i="1"/>
  <c r="C1104" i="1"/>
  <c r="D1104" i="1"/>
  <c r="E1104" i="1"/>
  <c r="F1104" i="1"/>
  <c r="G1104" i="1"/>
  <c r="H1104" i="1"/>
  <c r="I1104" i="1"/>
  <c r="J1104" i="1"/>
  <c r="K1104" i="1"/>
  <c r="L1104" i="1"/>
  <c r="M1104" i="1"/>
  <c r="A1105" i="1"/>
  <c r="B1105" i="1"/>
  <c r="C1105" i="1"/>
  <c r="D1105" i="1"/>
  <c r="E1105" i="1"/>
  <c r="F1105" i="1"/>
  <c r="G1105" i="1"/>
  <c r="H1105" i="1"/>
  <c r="I1105" i="1"/>
  <c r="J1105" i="1"/>
  <c r="K1105" i="1"/>
  <c r="L1105" i="1"/>
  <c r="M1105" i="1"/>
  <c r="A1106" i="1"/>
  <c r="B1106" i="1"/>
  <c r="C1106" i="1"/>
  <c r="D1106" i="1"/>
  <c r="E1106" i="1"/>
  <c r="F1106" i="1"/>
  <c r="G1106" i="1"/>
  <c r="H1106" i="1"/>
  <c r="I1106" i="1"/>
  <c r="J1106" i="1"/>
  <c r="K1106" i="1"/>
  <c r="L1106" i="1"/>
  <c r="M1106" i="1"/>
  <c r="A1107" i="1"/>
  <c r="B1107" i="1"/>
  <c r="C1107" i="1"/>
  <c r="D1107" i="1"/>
  <c r="E1107" i="1"/>
  <c r="F1107" i="1"/>
  <c r="G1107" i="1"/>
  <c r="H1107" i="1"/>
  <c r="I1107" i="1"/>
  <c r="J1107" i="1"/>
  <c r="K1107" i="1"/>
  <c r="L1107" i="1"/>
  <c r="M1107" i="1"/>
  <c r="A1108" i="1"/>
  <c r="B1108" i="1"/>
  <c r="C1108" i="1"/>
  <c r="D1108" i="1"/>
  <c r="E1108" i="1"/>
  <c r="F1108" i="1"/>
  <c r="G1108" i="1"/>
  <c r="H1108" i="1"/>
  <c r="I1108" i="1"/>
  <c r="J1108" i="1"/>
  <c r="K1108" i="1"/>
  <c r="L1108" i="1"/>
  <c r="M1108" i="1"/>
  <c r="A1109" i="1"/>
  <c r="B1109" i="1"/>
  <c r="C1109" i="1"/>
  <c r="D1109" i="1"/>
  <c r="E1109" i="1"/>
  <c r="F1109" i="1"/>
  <c r="G1109" i="1"/>
  <c r="H1109" i="1"/>
  <c r="I1109" i="1"/>
  <c r="J1109" i="1"/>
  <c r="K1109" i="1"/>
  <c r="L1109" i="1"/>
  <c r="M1109" i="1"/>
  <c r="A1110" i="1"/>
  <c r="B1110" i="1"/>
  <c r="C1110" i="1"/>
  <c r="D1110" i="1"/>
  <c r="E1110" i="1"/>
  <c r="F1110" i="1"/>
  <c r="G1110" i="1"/>
  <c r="H1110" i="1"/>
  <c r="I1110" i="1"/>
  <c r="J1110" i="1"/>
  <c r="K1110" i="1"/>
  <c r="L1110" i="1"/>
  <c r="M1110" i="1"/>
  <c r="A1111" i="1"/>
  <c r="B1111" i="1"/>
  <c r="C1111" i="1"/>
  <c r="D1111" i="1"/>
  <c r="E1111" i="1"/>
  <c r="F1111" i="1"/>
  <c r="G1111" i="1"/>
  <c r="H1111" i="1"/>
  <c r="I1111" i="1"/>
  <c r="J1111" i="1"/>
  <c r="K1111" i="1"/>
  <c r="L1111" i="1"/>
  <c r="M1111" i="1"/>
  <c r="A1112" i="1"/>
  <c r="B1112" i="1"/>
  <c r="C1112" i="1"/>
  <c r="D1112" i="1"/>
  <c r="E1112" i="1"/>
  <c r="F1112" i="1"/>
  <c r="G1112" i="1"/>
  <c r="H1112" i="1"/>
  <c r="I1112" i="1"/>
  <c r="J1112" i="1"/>
  <c r="K1112" i="1"/>
  <c r="L1112" i="1"/>
  <c r="M1112" i="1"/>
  <c r="A1113" i="1"/>
  <c r="B1113" i="1"/>
  <c r="C1113" i="1"/>
  <c r="D1113" i="1"/>
  <c r="E1113" i="1"/>
  <c r="F1113" i="1"/>
  <c r="G1113" i="1"/>
  <c r="H1113" i="1"/>
  <c r="I1113" i="1"/>
  <c r="J1113" i="1"/>
  <c r="K1113" i="1"/>
  <c r="L1113" i="1"/>
  <c r="M1113" i="1"/>
  <c r="A1114" i="1"/>
  <c r="B1114" i="1"/>
  <c r="C1114" i="1"/>
  <c r="D1114" i="1"/>
  <c r="E1114" i="1"/>
  <c r="F1114" i="1"/>
  <c r="G1114" i="1"/>
  <c r="H1114" i="1"/>
  <c r="I1114" i="1"/>
  <c r="J1114" i="1"/>
  <c r="K1114" i="1"/>
  <c r="L1114" i="1"/>
  <c r="M1114" i="1"/>
  <c r="A1115" i="1"/>
  <c r="B1115" i="1"/>
  <c r="C1115" i="1"/>
  <c r="D1115" i="1"/>
  <c r="E1115" i="1"/>
  <c r="F1115" i="1"/>
  <c r="G1115" i="1"/>
  <c r="H1115" i="1"/>
  <c r="I1115" i="1"/>
  <c r="J1115" i="1"/>
  <c r="K1115" i="1"/>
  <c r="L1115" i="1"/>
  <c r="M1115" i="1"/>
  <c r="A1116" i="1"/>
  <c r="B1116" i="1"/>
  <c r="C1116" i="1"/>
  <c r="D1116" i="1"/>
  <c r="E1116" i="1"/>
  <c r="F1116" i="1"/>
  <c r="G1116" i="1"/>
  <c r="H1116" i="1"/>
  <c r="I1116" i="1"/>
  <c r="J1116" i="1"/>
  <c r="K1116" i="1"/>
  <c r="L1116" i="1"/>
  <c r="M1116" i="1"/>
  <c r="A1117" i="1"/>
  <c r="B1117" i="1"/>
  <c r="C1117" i="1"/>
  <c r="D1117" i="1"/>
  <c r="E1117" i="1"/>
  <c r="F1117" i="1"/>
  <c r="G1117" i="1"/>
  <c r="H1117" i="1"/>
  <c r="I1117" i="1"/>
  <c r="J1117" i="1"/>
  <c r="K1117" i="1"/>
  <c r="L1117" i="1"/>
  <c r="M1117" i="1"/>
  <c r="A1118" i="1"/>
  <c r="B1118" i="1"/>
  <c r="C1118" i="1"/>
  <c r="D1118" i="1"/>
  <c r="E1118" i="1"/>
  <c r="F1118" i="1"/>
  <c r="G1118" i="1"/>
  <c r="H1118" i="1"/>
  <c r="I1118" i="1"/>
  <c r="J1118" i="1"/>
  <c r="K1118" i="1"/>
  <c r="L1118" i="1"/>
  <c r="M1118" i="1"/>
  <c r="A1119" i="1"/>
  <c r="B1119" i="1"/>
  <c r="C1119" i="1"/>
  <c r="D1119" i="1"/>
  <c r="E1119" i="1"/>
  <c r="F1119" i="1"/>
  <c r="G1119" i="1"/>
  <c r="H1119" i="1"/>
  <c r="I1119" i="1"/>
  <c r="J1119" i="1"/>
  <c r="K1119" i="1"/>
  <c r="L1119" i="1"/>
  <c r="M1119" i="1"/>
  <c r="A1120" i="1"/>
  <c r="B1120" i="1"/>
  <c r="C1120" i="1"/>
  <c r="D1120" i="1"/>
  <c r="E1120" i="1"/>
  <c r="F1120" i="1"/>
  <c r="G1120" i="1"/>
  <c r="H1120" i="1"/>
  <c r="I1120" i="1"/>
  <c r="J1120" i="1"/>
  <c r="K1120" i="1"/>
  <c r="L1120" i="1"/>
  <c r="M1120" i="1"/>
  <c r="A1121" i="1"/>
  <c r="B1121" i="1"/>
  <c r="C1121" i="1"/>
  <c r="D1121" i="1"/>
  <c r="E1121" i="1"/>
  <c r="F1121" i="1"/>
  <c r="G1121" i="1"/>
  <c r="H1121" i="1"/>
  <c r="I1121" i="1"/>
  <c r="J1121" i="1"/>
  <c r="K1121" i="1"/>
  <c r="L1121" i="1"/>
  <c r="M1121" i="1"/>
  <c r="A1122" i="1"/>
  <c r="B1122" i="1"/>
  <c r="C1122" i="1"/>
  <c r="D1122" i="1"/>
  <c r="E1122" i="1"/>
  <c r="F1122" i="1"/>
  <c r="G1122" i="1"/>
  <c r="H1122" i="1"/>
  <c r="I1122" i="1"/>
  <c r="J1122" i="1"/>
  <c r="K1122" i="1"/>
  <c r="L1122" i="1"/>
  <c r="M1122" i="1"/>
  <c r="A1123" i="1"/>
  <c r="B1123" i="1"/>
  <c r="C1123" i="1"/>
  <c r="D1123" i="1"/>
  <c r="E1123" i="1"/>
  <c r="F1123" i="1"/>
  <c r="G1123" i="1"/>
  <c r="H1123" i="1"/>
  <c r="I1123" i="1"/>
  <c r="J1123" i="1"/>
  <c r="K1123" i="1"/>
  <c r="L1123" i="1"/>
  <c r="M1123" i="1"/>
  <c r="A1124" i="1"/>
  <c r="B1124" i="1"/>
  <c r="C1124" i="1"/>
  <c r="D1124" i="1"/>
  <c r="E1124" i="1"/>
  <c r="F1124" i="1"/>
  <c r="G1124" i="1"/>
  <c r="H1124" i="1"/>
  <c r="I1124" i="1"/>
  <c r="J1124" i="1"/>
  <c r="K1124" i="1"/>
  <c r="L1124" i="1"/>
  <c r="M1124" i="1"/>
  <c r="A1125" i="1"/>
  <c r="B1125" i="1"/>
  <c r="C1125" i="1"/>
  <c r="D1125" i="1"/>
  <c r="E1125" i="1"/>
  <c r="F1125" i="1"/>
  <c r="G1125" i="1"/>
  <c r="H1125" i="1"/>
  <c r="I1125" i="1"/>
  <c r="J1125" i="1"/>
  <c r="K1125" i="1"/>
  <c r="L1125" i="1"/>
  <c r="M1125" i="1"/>
  <c r="A1126" i="1"/>
  <c r="B1126" i="1"/>
  <c r="C1126" i="1"/>
  <c r="D1126" i="1"/>
  <c r="E1126" i="1"/>
  <c r="F1126" i="1"/>
  <c r="G1126" i="1"/>
  <c r="H1126" i="1"/>
  <c r="I1126" i="1"/>
  <c r="J1126" i="1"/>
  <c r="K1126" i="1"/>
  <c r="L1126" i="1"/>
  <c r="M1126" i="1"/>
  <c r="A1127" i="1"/>
  <c r="B1127" i="1"/>
  <c r="C1127" i="1"/>
  <c r="D1127" i="1"/>
  <c r="E1127" i="1"/>
  <c r="F1127" i="1"/>
  <c r="G1127" i="1"/>
  <c r="H1127" i="1"/>
  <c r="I1127" i="1"/>
  <c r="J1127" i="1"/>
  <c r="K1127" i="1"/>
  <c r="L1127" i="1"/>
  <c r="M1127" i="1"/>
  <c r="A1128" i="1"/>
  <c r="B1128" i="1"/>
  <c r="C1128" i="1"/>
  <c r="D1128" i="1"/>
  <c r="E1128" i="1"/>
  <c r="F1128" i="1"/>
  <c r="G1128" i="1"/>
  <c r="H1128" i="1"/>
  <c r="I1128" i="1"/>
  <c r="J1128" i="1"/>
  <c r="K1128" i="1"/>
  <c r="L1128" i="1"/>
  <c r="M1128" i="1"/>
  <c r="A1129" i="1"/>
  <c r="B1129" i="1"/>
  <c r="C1129" i="1"/>
  <c r="D1129" i="1"/>
  <c r="E1129" i="1"/>
  <c r="F1129" i="1"/>
  <c r="G1129" i="1"/>
  <c r="H1129" i="1"/>
  <c r="I1129" i="1"/>
  <c r="J1129" i="1"/>
  <c r="K1129" i="1"/>
  <c r="L1129" i="1"/>
  <c r="M1129" i="1"/>
  <c r="A1130" i="1"/>
  <c r="B1130" i="1"/>
  <c r="C1130" i="1"/>
  <c r="D1130" i="1"/>
  <c r="E1130" i="1"/>
  <c r="F1130" i="1"/>
  <c r="G1130" i="1"/>
  <c r="H1130" i="1"/>
  <c r="I1130" i="1"/>
  <c r="J1130" i="1"/>
  <c r="K1130" i="1"/>
  <c r="L1130" i="1"/>
  <c r="M1130" i="1"/>
  <c r="A1131" i="1"/>
  <c r="B1131" i="1"/>
  <c r="C1131" i="1"/>
  <c r="D1131" i="1"/>
  <c r="E1131" i="1"/>
  <c r="F1131" i="1"/>
  <c r="G1131" i="1"/>
  <c r="H1131" i="1"/>
  <c r="I1131" i="1"/>
  <c r="J1131" i="1"/>
  <c r="K1131" i="1"/>
  <c r="L1131" i="1"/>
  <c r="M1131" i="1"/>
  <c r="A1132" i="1"/>
  <c r="B1132" i="1"/>
  <c r="C1132" i="1"/>
  <c r="D1132" i="1"/>
  <c r="E1132" i="1"/>
  <c r="F1132" i="1"/>
  <c r="G1132" i="1"/>
  <c r="H1132" i="1"/>
  <c r="I1132" i="1"/>
  <c r="J1132" i="1"/>
  <c r="K1132" i="1"/>
  <c r="L1132" i="1"/>
  <c r="M1132" i="1"/>
  <c r="A1133" i="1"/>
  <c r="B1133" i="1"/>
  <c r="C1133" i="1"/>
  <c r="D1133" i="1"/>
  <c r="E1133" i="1"/>
  <c r="F1133" i="1"/>
  <c r="G1133" i="1"/>
  <c r="H1133" i="1"/>
  <c r="I1133" i="1"/>
  <c r="J1133" i="1"/>
  <c r="K1133" i="1"/>
  <c r="L1133" i="1"/>
  <c r="M1133" i="1"/>
  <c r="A1134" i="1"/>
  <c r="B1134" i="1"/>
  <c r="C1134" i="1"/>
  <c r="D1134" i="1"/>
  <c r="E1134" i="1"/>
  <c r="F1134" i="1"/>
  <c r="G1134" i="1"/>
  <c r="H1134" i="1"/>
  <c r="I1134" i="1"/>
  <c r="J1134" i="1"/>
  <c r="K1134" i="1"/>
  <c r="L1134" i="1"/>
  <c r="M1134" i="1"/>
  <c r="A1135" i="1"/>
  <c r="B1135" i="1"/>
  <c r="C1135" i="1"/>
  <c r="D1135" i="1"/>
  <c r="E1135" i="1"/>
  <c r="F1135" i="1"/>
  <c r="G1135" i="1"/>
  <c r="H1135" i="1"/>
  <c r="I1135" i="1"/>
  <c r="J1135" i="1"/>
  <c r="K1135" i="1"/>
  <c r="L1135" i="1"/>
  <c r="M1135" i="1"/>
  <c r="A1136" i="1"/>
  <c r="B1136" i="1"/>
  <c r="C1136" i="1"/>
  <c r="D1136" i="1"/>
  <c r="E1136" i="1"/>
  <c r="F1136" i="1"/>
  <c r="G1136" i="1"/>
  <c r="H1136" i="1"/>
  <c r="I1136" i="1"/>
  <c r="J1136" i="1"/>
  <c r="K1136" i="1"/>
  <c r="L1136" i="1"/>
  <c r="M1136" i="1"/>
  <c r="A1137" i="1"/>
  <c r="B1137" i="1"/>
  <c r="C1137" i="1"/>
  <c r="D1137" i="1"/>
  <c r="E1137" i="1"/>
  <c r="F1137" i="1"/>
  <c r="G1137" i="1"/>
  <c r="H1137" i="1"/>
  <c r="I1137" i="1"/>
  <c r="J1137" i="1"/>
  <c r="K1137" i="1"/>
  <c r="L1137" i="1"/>
  <c r="M1137" i="1"/>
  <c r="A1138" i="1"/>
  <c r="B1138" i="1"/>
  <c r="C1138" i="1"/>
  <c r="D1138" i="1"/>
  <c r="E1138" i="1"/>
  <c r="F1138" i="1"/>
  <c r="G1138" i="1"/>
  <c r="H1138" i="1"/>
  <c r="I1138" i="1"/>
  <c r="J1138" i="1"/>
  <c r="K1138" i="1"/>
  <c r="L1138" i="1"/>
  <c r="M1138" i="1"/>
  <c r="A1139" i="1"/>
  <c r="B1139" i="1"/>
  <c r="C1139" i="1"/>
  <c r="D1139" i="1"/>
  <c r="E1139" i="1"/>
  <c r="F1139" i="1"/>
  <c r="G1139" i="1"/>
  <c r="H1139" i="1"/>
  <c r="I1139" i="1"/>
  <c r="J1139" i="1"/>
  <c r="K1139" i="1"/>
  <c r="L1139" i="1"/>
  <c r="M1139" i="1"/>
  <c r="A1140" i="1"/>
  <c r="B1140" i="1"/>
  <c r="C1140" i="1"/>
  <c r="D1140" i="1"/>
  <c r="E1140" i="1"/>
  <c r="F1140" i="1"/>
  <c r="G1140" i="1"/>
  <c r="H1140" i="1"/>
  <c r="I1140" i="1"/>
  <c r="J1140" i="1"/>
  <c r="K1140" i="1"/>
  <c r="L1140" i="1"/>
  <c r="M1140" i="1"/>
  <c r="A1141" i="1"/>
  <c r="B1141" i="1"/>
  <c r="C1141" i="1"/>
  <c r="D1141" i="1"/>
  <c r="E1141" i="1"/>
  <c r="F1141" i="1"/>
  <c r="G1141" i="1"/>
  <c r="H1141" i="1"/>
  <c r="I1141" i="1"/>
  <c r="J1141" i="1"/>
  <c r="K1141" i="1"/>
  <c r="L1141" i="1"/>
  <c r="M1141" i="1"/>
  <c r="A1142" i="1"/>
  <c r="B1142" i="1"/>
  <c r="C1142" i="1"/>
  <c r="D1142" i="1"/>
  <c r="E1142" i="1"/>
  <c r="F1142" i="1"/>
  <c r="G1142" i="1"/>
  <c r="H1142" i="1"/>
  <c r="I1142" i="1"/>
  <c r="J1142" i="1"/>
  <c r="K1142" i="1"/>
  <c r="L1142" i="1"/>
  <c r="M1142" i="1"/>
  <c r="A1143" i="1"/>
  <c r="B1143" i="1"/>
  <c r="C1143" i="1"/>
  <c r="D1143" i="1"/>
  <c r="E1143" i="1"/>
  <c r="F1143" i="1"/>
  <c r="G1143" i="1"/>
  <c r="H1143" i="1"/>
  <c r="I1143" i="1"/>
  <c r="J1143" i="1"/>
  <c r="K1143" i="1"/>
  <c r="L1143" i="1"/>
  <c r="M1143" i="1"/>
  <c r="A1144" i="1"/>
  <c r="B1144" i="1"/>
  <c r="C1144" i="1"/>
  <c r="D1144" i="1"/>
  <c r="E1144" i="1"/>
  <c r="F1144" i="1"/>
  <c r="G1144" i="1"/>
  <c r="H1144" i="1"/>
  <c r="I1144" i="1"/>
  <c r="J1144" i="1"/>
  <c r="K1144" i="1"/>
  <c r="L1144" i="1"/>
  <c r="M1144" i="1"/>
  <c r="A1145" i="1"/>
  <c r="B1145" i="1"/>
  <c r="C1145" i="1"/>
  <c r="D1145" i="1"/>
  <c r="E1145" i="1"/>
  <c r="F1145" i="1"/>
  <c r="G1145" i="1"/>
  <c r="H1145" i="1"/>
  <c r="I1145" i="1"/>
  <c r="J1145" i="1"/>
  <c r="K1145" i="1"/>
  <c r="L1145" i="1"/>
  <c r="M1145" i="1"/>
  <c r="A1146" i="1"/>
  <c r="B1146" i="1"/>
  <c r="C1146" i="1"/>
  <c r="D1146" i="1"/>
  <c r="E1146" i="1"/>
  <c r="F1146" i="1"/>
  <c r="G1146" i="1"/>
  <c r="H1146" i="1"/>
  <c r="I1146" i="1"/>
  <c r="J1146" i="1"/>
  <c r="K1146" i="1"/>
  <c r="L1146" i="1"/>
  <c r="M1146" i="1"/>
  <c r="A1147" i="1"/>
  <c r="B1147" i="1"/>
  <c r="C1147" i="1"/>
  <c r="D1147" i="1"/>
  <c r="E1147" i="1"/>
  <c r="F1147" i="1"/>
  <c r="G1147" i="1"/>
  <c r="H1147" i="1"/>
  <c r="I1147" i="1"/>
  <c r="J1147" i="1"/>
  <c r="K1147" i="1"/>
  <c r="L1147" i="1"/>
  <c r="M1147" i="1"/>
  <c r="A1148" i="1"/>
  <c r="B1148" i="1"/>
  <c r="C1148" i="1"/>
  <c r="D1148" i="1"/>
  <c r="E1148" i="1"/>
  <c r="F1148" i="1"/>
  <c r="G1148" i="1"/>
  <c r="H1148" i="1"/>
  <c r="I1148" i="1"/>
  <c r="J1148" i="1"/>
  <c r="K1148" i="1"/>
  <c r="L1148" i="1"/>
  <c r="M1148" i="1"/>
  <c r="A1149" i="1"/>
  <c r="B1149" i="1"/>
  <c r="C1149" i="1"/>
  <c r="D1149" i="1"/>
  <c r="E1149" i="1"/>
  <c r="F1149" i="1"/>
  <c r="G1149" i="1"/>
  <c r="H1149" i="1"/>
  <c r="I1149" i="1"/>
  <c r="J1149" i="1"/>
  <c r="K1149" i="1"/>
  <c r="L1149" i="1"/>
  <c r="M1149" i="1"/>
  <c r="A1150" i="1"/>
  <c r="B1150" i="1"/>
  <c r="C1150" i="1"/>
  <c r="D1150" i="1"/>
  <c r="E1150" i="1"/>
  <c r="F1150" i="1"/>
  <c r="G1150" i="1"/>
  <c r="H1150" i="1"/>
  <c r="I1150" i="1"/>
  <c r="J1150" i="1"/>
  <c r="K1150" i="1"/>
  <c r="L1150" i="1"/>
  <c r="M1150" i="1"/>
  <c r="A1151" i="1"/>
  <c r="B1151" i="1"/>
  <c r="C1151" i="1"/>
  <c r="D1151" i="1"/>
  <c r="E1151" i="1"/>
  <c r="F1151" i="1"/>
  <c r="G1151" i="1"/>
  <c r="H1151" i="1"/>
  <c r="I1151" i="1"/>
  <c r="J1151" i="1"/>
  <c r="K1151" i="1"/>
  <c r="L1151" i="1"/>
  <c r="M1151" i="1"/>
  <c r="A1152" i="1"/>
  <c r="B1152" i="1"/>
  <c r="C1152" i="1"/>
  <c r="D1152" i="1"/>
  <c r="E1152" i="1"/>
  <c r="F1152" i="1"/>
  <c r="G1152" i="1"/>
  <c r="H1152" i="1"/>
  <c r="I1152" i="1"/>
  <c r="J1152" i="1"/>
  <c r="K1152" i="1"/>
  <c r="L1152" i="1"/>
  <c r="M1152" i="1"/>
  <c r="A1153" i="1"/>
  <c r="B1153" i="1"/>
  <c r="C1153" i="1"/>
  <c r="D1153" i="1"/>
  <c r="E1153" i="1"/>
  <c r="F1153" i="1"/>
  <c r="G1153" i="1"/>
  <c r="H1153" i="1"/>
  <c r="I1153" i="1"/>
  <c r="J1153" i="1"/>
  <c r="K1153" i="1"/>
  <c r="L1153" i="1"/>
  <c r="M1153" i="1"/>
  <c r="A1154" i="1"/>
  <c r="B1154" i="1"/>
  <c r="C1154" i="1"/>
  <c r="D1154" i="1"/>
  <c r="E1154" i="1"/>
  <c r="F1154" i="1"/>
  <c r="G1154" i="1"/>
  <c r="H1154" i="1"/>
  <c r="I1154" i="1"/>
  <c r="J1154" i="1"/>
  <c r="K1154" i="1"/>
  <c r="L1154" i="1"/>
  <c r="M1154" i="1"/>
  <c r="A1155" i="1"/>
  <c r="B1155" i="1"/>
  <c r="C1155" i="1"/>
  <c r="D1155" i="1"/>
  <c r="E1155" i="1"/>
  <c r="F1155" i="1"/>
  <c r="G1155" i="1"/>
  <c r="H1155" i="1"/>
  <c r="I1155" i="1"/>
  <c r="J1155" i="1"/>
  <c r="K1155" i="1"/>
  <c r="L1155" i="1"/>
  <c r="M1155" i="1"/>
  <c r="A1156" i="1"/>
  <c r="B1156" i="1"/>
  <c r="C1156" i="1"/>
  <c r="D1156" i="1"/>
  <c r="E1156" i="1"/>
  <c r="F1156" i="1"/>
  <c r="G1156" i="1"/>
  <c r="H1156" i="1"/>
  <c r="I1156" i="1"/>
  <c r="J1156" i="1"/>
  <c r="K1156" i="1"/>
  <c r="L1156" i="1"/>
  <c r="M1156" i="1"/>
  <c r="A1157" i="1"/>
  <c r="B1157" i="1"/>
  <c r="C1157" i="1"/>
  <c r="D1157" i="1"/>
  <c r="E1157" i="1"/>
  <c r="F1157" i="1"/>
  <c r="G1157" i="1"/>
  <c r="H1157" i="1"/>
  <c r="I1157" i="1"/>
  <c r="J1157" i="1"/>
  <c r="K1157" i="1"/>
  <c r="L1157" i="1"/>
  <c r="M1157" i="1"/>
  <c r="A1158" i="1"/>
  <c r="B1158" i="1"/>
  <c r="C1158" i="1"/>
  <c r="D1158" i="1"/>
  <c r="E1158" i="1"/>
  <c r="F1158" i="1"/>
  <c r="G1158" i="1"/>
  <c r="H1158" i="1"/>
  <c r="I1158" i="1"/>
  <c r="J1158" i="1"/>
  <c r="K1158" i="1"/>
  <c r="L1158" i="1"/>
  <c r="M1158" i="1"/>
  <c r="A1159" i="1"/>
  <c r="B1159" i="1"/>
  <c r="C1159" i="1"/>
  <c r="D1159" i="1"/>
  <c r="E1159" i="1"/>
  <c r="F1159" i="1"/>
  <c r="G1159" i="1"/>
  <c r="H1159" i="1"/>
  <c r="I1159" i="1"/>
  <c r="J1159" i="1"/>
  <c r="K1159" i="1"/>
  <c r="L1159" i="1"/>
  <c r="M1159" i="1"/>
  <c r="A1160" i="1"/>
  <c r="B1160" i="1"/>
  <c r="C1160" i="1"/>
  <c r="D1160" i="1"/>
  <c r="E1160" i="1"/>
  <c r="F1160" i="1"/>
  <c r="G1160" i="1"/>
  <c r="H1160" i="1"/>
  <c r="I1160" i="1"/>
  <c r="J1160" i="1"/>
  <c r="K1160" i="1"/>
  <c r="L1160" i="1"/>
  <c r="M1160" i="1"/>
  <c r="A1161" i="1"/>
  <c r="B1161" i="1"/>
  <c r="C1161" i="1"/>
  <c r="D1161" i="1"/>
  <c r="E1161" i="1"/>
  <c r="F1161" i="1"/>
  <c r="G1161" i="1"/>
  <c r="H1161" i="1"/>
  <c r="I1161" i="1"/>
  <c r="J1161" i="1"/>
  <c r="K1161" i="1"/>
  <c r="L1161" i="1"/>
  <c r="M1161" i="1"/>
  <c r="A1162" i="1"/>
  <c r="B1162" i="1"/>
  <c r="C1162" i="1"/>
  <c r="D1162" i="1"/>
  <c r="E1162" i="1"/>
  <c r="F1162" i="1"/>
  <c r="G1162" i="1"/>
  <c r="H1162" i="1"/>
  <c r="I1162" i="1"/>
  <c r="J1162" i="1"/>
  <c r="K1162" i="1"/>
  <c r="L1162" i="1"/>
  <c r="M1162" i="1"/>
  <c r="A1163" i="1"/>
  <c r="B1163" i="1"/>
  <c r="C1163" i="1"/>
  <c r="D1163" i="1"/>
  <c r="E1163" i="1"/>
  <c r="F1163" i="1"/>
  <c r="G1163" i="1"/>
  <c r="H1163" i="1"/>
  <c r="I1163" i="1"/>
  <c r="J1163" i="1"/>
  <c r="K1163" i="1"/>
  <c r="L1163" i="1"/>
  <c r="M1163" i="1"/>
  <c r="A1164" i="1"/>
  <c r="B1164" i="1"/>
  <c r="C1164" i="1"/>
  <c r="D1164" i="1"/>
  <c r="E1164" i="1"/>
  <c r="F1164" i="1"/>
  <c r="G1164" i="1"/>
  <c r="H1164" i="1"/>
  <c r="I1164" i="1"/>
  <c r="J1164" i="1"/>
  <c r="K1164" i="1"/>
  <c r="L1164" i="1"/>
  <c r="M1164" i="1"/>
  <c r="A1165" i="1"/>
  <c r="B1165" i="1"/>
  <c r="C1165" i="1"/>
  <c r="D1165" i="1"/>
  <c r="E1165" i="1"/>
  <c r="F1165" i="1"/>
  <c r="G1165" i="1"/>
  <c r="H1165" i="1"/>
  <c r="I1165" i="1"/>
  <c r="J1165" i="1"/>
  <c r="K1165" i="1"/>
  <c r="L1165" i="1"/>
  <c r="M1165" i="1"/>
  <c r="A1166" i="1"/>
  <c r="B1166" i="1"/>
  <c r="C1166" i="1"/>
  <c r="D1166" i="1"/>
  <c r="E1166" i="1"/>
  <c r="F1166" i="1"/>
  <c r="G1166" i="1"/>
  <c r="H1166" i="1"/>
  <c r="I1166" i="1"/>
  <c r="J1166" i="1"/>
  <c r="K1166" i="1"/>
  <c r="L1166" i="1"/>
  <c r="M1166" i="1"/>
  <c r="A1167" i="1"/>
  <c r="B1167" i="1"/>
  <c r="C1167" i="1"/>
  <c r="D1167" i="1"/>
  <c r="E1167" i="1"/>
  <c r="F1167" i="1"/>
  <c r="G1167" i="1"/>
  <c r="H1167" i="1"/>
  <c r="I1167" i="1"/>
  <c r="J1167" i="1"/>
  <c r="K1167" i="1"/>
  <c r="L1167" i="1"/>
  <c r="M1167" i="1"/>
  <c r="A1168" i="1"/>
  <c r="B1168" i="1"/>
  <c r="C1168" i="1"/>
  <c r="D1168" i="1"/>
  <c r="E1168" i="1"/>
  <c r="F1168" i="1"/>
  <c r="G1168" i="1"/>
  <c r="H1168" i="1"/>
  <c r="I1168" i="1"/>
  <c r="J1168" i="1"/>
  <c r="K1168" i="1"/>
  <c r="L1168" i="1"/>
  <c r="M1168" i="1"/>
  <c r="A1169" i="1"/>
  <c r="B1169" i="1"/>
  <c r="C1169" i="1"/>
  <c r="D1169" i="1"/>
  <c r="E1169" i="1"/>
  <c r="F1169" i="1"/>
  <c r="G1169" i="1"/>
  <c r="H1169" i="1"/>
  <c r="I1169" i="1"/>
  <c r="J1169" i="1"/>
  <c r="K1169" i="1"/>
  <c r="L1169" i="1"/>
  <c r="M1169" i="1"/>
  <c r="A1170" i="1"/>
  <c r="B1170" i="1"/>
  <c r="C1170" i="1"/>
  <c r="D1170" i="1"/>
  <c r="E1170" i="1"/>
  <c r="F1170" i="1"/>
  <c r="G1170" i="1"/>
  <c r="H1170" i="1"/>
  <c r="I1170" i="1"/>
  <c r="J1170" i="1"/>
  <c r="K1170" i="1"/>
  <c r="L1170" i="1"/>
  <c r="M1170" i="1"/>
  <c r="A1171" i="1"/>
  <c r="B1171" i="1"/>
  <c r="C1171" i="1"/>
  <c r="D1171" i="1"/>
  <c r="E1171" i="1"/>
  <c r="F1171" i="1"/>
  <c r="G1171" i="1"/>
  <c r="H1171" i="1"/>
  <c r="I1171" i="1"/>
  <c r="J1171" i="1"/>
  <c r="K1171" i="1"/>
  <c r="L1171" i="1"/>
  <c r="M1171" i="1"/>
  <c r="A1172" i="1"/>
  <c r="B1172" i="1"/>
  <c r="C1172" i="1"/>
  <c r="D1172" i="1"/>
  <c r="E1172" i="1"/>
  <c r="F1172" i="1"/>
  <c r="G1172" i="1"/>
  <c r="H1172" i="1"/>
  <c r="I1172" i="1"/>
  <c r="J1172" i="1"/>
  <c r="K1172" i="1"/>
  <c r="L1172" i="1"/>
  <c r="M1172" i="1"/>
  <c r="A1173" i="1"/>
  <c r="B1173" i="1"/>
  <c r="C1173" i="1"/>
  <c r="D1173" i="1"/>
  <c r="E1173" i="1"/>
  <c r="F1173" i="1"/>
  <c r="G1173" i="1"/>
  <c r="H1173" i="1"/>
  <c r="I1173" i="1"/>
  <c r="J1173" i="1"/>
  <c r="K1173" i="1"/>
  <c r="L1173" i="1"/>
  <c r="M1173" i="1"/>
  <c r="A1174" i="1"/>
  <c r="B1174" i="1"/>
  <c r="C1174" i="1"/>
  <c r="D1174" i="1"/>
  <c r="E1174" i="1"/>
  <c r="F1174" i="1"/>
  <c r="G1174" i="1"/>
  <c r="H1174" i="1"/>
  <c r="I1174" i="1"/>
  <c r="J1174" i="1"/>
  <c r="K1174" i="1"/>
  <c r="L1174" i="1"/>
  <c r="M1174" i="1"/>
  <c r="A1175" i="1"/>
  <c r="B1175" i="1"/>
  <c r="C1175" i="1"/>
  <c r="D1175" i="1"/>
  <c r="E1175" i="1"/>
  <c r="F1175" i="1"/>
  <c r="G1175" i="1"/>
  <c r="H1175" i="1"/>
  <c r="I1175" i="1"/>
  <c r="J1175" i="1"/>
  <c r="K1175" i="1"/>
  <c r="L1175" i="1"/>
  <c r="M1175" i="1"/>
  <c r="A1176" i="1"/>
  <c r="B1176" i="1"/>
  <c r="C1176" i="1"/>
  <c r="D1176" i="1"/>
  <c r="E1176" i="1"/>
  <c r="F1176" i="1"/>
  <c r="G1176" i="1"/>
  <c r="H1176" i="1"/>
  <c r="I1176" i="1"/>
  <c r="J1176" i="1"/>
  <c r="K1176" i="1"/>
  <c r="L1176" i="1"/>
  <c r="M1176" i="1"/>
  <c r="A1177" i="1"/>
  <c r="B1177" i="1"/>
  <c r="C1177" i="1"/>
  <c r="D1177" i="1"/>
  <c r="E1177" i="1"/>
  <c r="F1177" i="1"/>
  <c r="G1177" i="1"/>
  <c r="H1177" i="1"/>
  <c r="I1177" i="1"/>
  <c r="J1177" i="1"/>
  <c r="K1177" i="1"/>
  <c r="L1177" i="1"/>
  <c r="M1177" i="1"/>
  <c r="A1178" i="1"/>
  <c r="B1178" i="1"/>
  <c r="C1178" i="1"/>
  <c r="D1178" i="1"/>
  <c r="E1178" i="1"/>
  <c r="F1178" i="1"/>
  <c r="G1178" i="1"/>
  <c r="H1178" i="1"/>
  <c r="I1178" i="1"/>
  <c r="J1178" i="1"/>
  <c r="K1178" i="1"/>
  <c r="L1178" i="1"/>
  <c r="M1178" i="1"/>
  <c r="A1179" i="1"/>
  <c r="B1179" i="1"/>
  <c r="C1179" i="1"/>
  <c r="D1179" i="1"/>
  <c r="E1179" i="1"/>
  <c r="F1179" i="1"/>
  <c r="G1179" i="1"/>
  <c r="H1179" i="1"/>
  <c r="I1179" i="1"/>
  <c r="J1179" i="1"/>
  <c r="K1179" i="1"/>
  <c r="L1179" i="1"/>
  <c r="M1179" i="1"/>
  <c r="A1180" i="1"/>
  <c r="B1180" i="1"/>
  <c r="C1180" i="1"/>
  <c r="D1180" i="1"/>
  <c r="E1180" i="1"/>
  <c r="F1180" i="1"/>
  <c r="G1180" i="1"/>
  <c r="H1180" i="1"/>
  <c r="I1180" i="1"/>
  <c r="J1180" i="1"/>
  <c r="K1180" i="1"/>
  <c r="L1180" i="1"/>
  <c r="M1180" i="1"/>
  <c r="A1181" i="1"/>
  <c r="B1181" i="1"/>
  <c r="C1181" i="1"/>
  <c r="D1181" i="1"/>
  <c r="E1181" i="1"/>
  <c r="F1181" i="1"/>
  <c r="G1181" i="1"/>
  <c r="H1181" i="1"/>
  <c r="I1181" i="1"/>
  <c r="J1181" i="1"/>
  <c r="K1181" i="1"/>
  <c r="L1181" i="1"/>
  <c r="M1181" i="1"/>
  <c r="A1182" i="1"/>
  <c r="B1182" i="1"/>
  <c r="C1182" i="1"/>
  <c r="D1182" i="1"/>
  <c r="E1182" i="1"/>
  <c r="F1182" i="1"/>
  <c r="G1182" i="1"/>
  <c r="H1182" i="1"/>
  <c r="I1182" i="1"/>
  <c r="J1182" i="1"/>
  <c r="K1182" i="1"/>
  <c r="L1182" i="1"/>
  <c r="M1182" i="1"/>
  <c r="A1183" i="1"/>
  <c r="B1183" i="1"/>
  <c r="C1183" i="1"/>
  <c r="D1183" i="1"/>
  <c r="E1183" i="1"/>
  <c r="F1183" i="1"/>
  <c r="G1183" i="1"/>
  <c r="H1183" i="1"/>
  <c r="I1183" i="1"/>
  <c r="J1183" i="1"/>
  <c r="K1183" i="1"/>
  <c r="L1183" i="1"/>
  <c r="M1183" i="1"/>
  <c r="A1184" i="1"/>
  <c r="B1184" i="1"/>
  <c r="C1184" i="1"/>
  <c r="D1184" i="1"/>
  <c r="E1184" i="1"/>
  <c r="F1184" i="1"/>
  <c r="G1184" i="1"/>
  <c r="H1184" i="1"/>
  <c r="I1184" i="1"/>
  <c r="J1184" i="1"/>
  <c r="K1184" i="1"/>
  <c r="L1184" i="1"/>
  <c r="M1184" i="1"/>
  <c r="A1185" i="1"/>
  <c r="B1185" i="1"/>
  <c r="C1185" i="1"/>
  <c r="D1185" i="1"/>
  <c r="E1185" i="1"/>
  <c r="F1185" i="1"/>
  <c r="G1185" i="1"/>
  <c r="H1185" i="1"/>
  <c r="I1185" i="1"/>
  <c r="J1185" i="1"/>
  <c r="K1185" i="1"/>
  <c r="L1185" i="1"/>
  <c r="M1185" i="1"/>
  <c r="A1186" i="1"/>
  <c r="B1186" i="1"/>
  <c r="C1186" i="1"/>
  <c r="D1186" i="1"/>
  <c r="E1186" i="1"/>
  <c r="F1186" i="1"/>
  <c r="G1186" i="1"/>
  <c r="H1186" i="1"/>
  <c r="I1186" i="1"/>
  <c r="J1186" i="1"/>
  <c r="K1186" i="1"/>
  <c r="L1186" i="1"/>
  <c r="M1186" i="1"/>
  <c r="A1187" i="1"/>
  <c r="B1187" i="1"/>
  <c r="C1187" i="1"/>
  <c r="D1187" i="1"/>
  <c r="E1187" i="1"/>
  <c r="F1187" i="1"/>
  <c r="G1187" i="1"/>
  <c r="H1187" i="1"/>
  <c r="I1187" i="1"/>
  <c r="J1187" i="1"/>
  <c r="K1187" i="1"/>
  <c r="L1187" i="1"/>
  <c r="M1187" i="1"/>
  <c r="A1188" i="1"/>
  <c r="B1188" i="1"/>
  <c r="C1188" i="1"/>
  <c r="D1188" i="1"/>
  <c r="E1188" i="1"/>
  <c r="F1188" i="1"/>
  <c r="G1188" i="1"/>
  <c r="H1188" i="1"/>
  <c r="I1188" i="1"/>
  <c r="J1188" i="1"/>
  <c r="K1188" i="1"/>
  <c r="L1188" i="1"/>
  <c r="M1188" i="1"/>
  <c r="A1189" i="1"/>
  <c r="B1189" i="1"/>
  <c r="C1189" i="1"/>
  <c r="D1189" i="1"/>
  <c r="E1189" i="1"/>
  <c r="F1189" i="1"/>
  <c r="G1189" i="1"/>
  <c r="H1189" i="1"/>
  <c r="I1189" i="1"/>
  <c r="J1189" i="1"/>
  <c r="K1189" i="1"/>
  <c r="L1189" i="1"/>
  <c r="M1189" i="1"/>
  <c r="A1190" i="1"/>
  <c r="B1190" i="1"/>
  <c r="C1190" i="1"/>
  <c r="D1190" i="1"/>
  <c r="E1190" i="1"/>
  <c r="F1190" i="1"/>
  <c r="G1190" i="1"/>
  <c r="H1190" i="1"/>
  <c r="I1190" i="1"/>
  <c r="J1190" i="1"/>
  <c r="K1190" i="1"/>
  <c r="L1190" i="1"/>
  <c r="M1190" i="1"/>
  <c r="A1191" i="1"/>
  <c r="B1191" i="1"/>
  <c r="C1191" i="1"/>
  <c r="D1191" i="1"/>
  <c r="E1191" i="1"/>
  <c r="F1191" i="1"/>
  <c r="G1191" i="1"/>
  <c r="H1191" i="1"/>
  <c r="I1191" i="1"/>
  <c r="J1191" i="1"/>
  <c r="K1191" i="1"/>
  <c r="L1191" i="1"/>
  <c r="M1191" i="1"/>
  <c r="A1192" i="1"/>
  <c r="B1192" i="1"/>
  <c r="C1192" i="1"/>
  <c r="D1192" i="1"/>
  <c r="E1192" i="1"/>
  <c r="F1192" i="1"/>
  <c r="G1192" i="1"/>
  <c r="H1192" i="1"/>
  <c r="I1192" i="1"/>
  <c r="J1192" i="1"/>
  <c r="K1192" i="1"/>
  <c r="L1192" i="1"/>
  <c r="M1192" i="1"/>
  <c r="A1193" i="1"/>
  <c r="B1193" i="1"/>
  <c r="C1193" i="1"/>
  <c r="D1193" i="1"/>
  <c r="E1193" i="1"/>
  <c r="F1193" i="1"/>
  <c r="G1193" i="1"/>
  <c r="H1193" i="1"/>
  <c r="I1193" i="1"/>
  <c r="J1193" i="1"/>
  <c r="K1193" i="1"/>
  <c r="L1193" i="1"/>
  <c r="M1193" i="1"/>
  <c r="A1194" i="1"/>
  <c r="B1194" i="1"/>
  <c r="C1194" i="1"/>
  <c r="D1194" i="1"/>
  <c r="E1194" i="1"/>
  <c r="F1194" i="1"/>
  <c r="G1194" i="1"/>
  <c r="H1194" i="1"/>
  <c r="I1194" i="1"/>
  <c r="J1194" i="1"/>
  <c r="K1194" i="1"/>
  <c r="L1194" i="1"/>
  <c r="M1194" i="1"/>
  <c r="A1195" i="1"/>
  <c r="B1195" i="1"/>
  <c r="C1195" i="1"/>
  <c r="D1195" i="1"/>
  <c r="E1195" i="1"/>
  <c r="F1195" i="1"/>
  <c r="G1195" i="1"/>
  <c r="H1195" i="1"/>
  <c r="I1195" i="1"/>
  <c r="J1195" i="1"/>
  <c r="K1195" i="1"/>
  <c r="L1195" i="1"/>
  <c r="M1195" i="1"/>
  <c r="A1196" i="1"/>
  <c r="B1196" i="1"/>
  <c r="C1196" i="1"/>
  <c r="D1196" i="1"/>
  <c r="E1196" i="1"/>
  <c r="F1196" i="1"/>
  <c r="G1196" i="1"/>
  <c r="H1196" i="1"/>
  <c r="I1196" i="1"/>
  <c r="J1196" i="1"/>
  <c r="K1196" i="1"/>
  <c r="L1196" i="1"/>
  <c r="M1196" i="1"/>
  <c r="A1197" i="1"/>
  <c r="B1197" i="1"/>
  <c r="C1197" i="1"/>
  <c r="D1197" i="1"/>
  <c r="E1197" i="1"/>
  <c r="F1197" i="1"/>
  <c r="G1197" i="1"/>
  <c r="H1197" i="1"/>
  <c r="I1197" i="1"/>
  <c r="J1197" i="1"/>
  <c r="K1197" i="1"/>
  <c r="L1197" i="1"/>
  <c r="M1197" i="1"/>
  <c r="A1198" i="1"/>
  <c r="B1198" i="1"/>
  <c r="C1198" i="1"/>
  <c r="D1198" i="1"/>
  <c r="E1198" i="1"/>
  <c r="F1198" i="1"/>
  <c r="G1198" i="1"/>
  <c r="H1198" i="1"/>
  <c r="I1198" i="1"/>
  <c r="J1198" i="1"/>
  <c r="K1198" i="1"/>
  <c r="L1198" i="1"/>
  <c r="M1198" i="1"/>
  <c r="A1199" i="1"/>
  <c r="B1199" i="1"/>
  <c r="C1199" i="1"/>
  <c r="D1199" i="1"/>
  <c r="E1199" i="1"/>
  <c r="F1199" i="1"/>
  <c r="G1199" i="1"/>
  <c r="H1199" i="1"/>
  <c r="I1199" i="1"/>
  <c r="J1199" i="1"/>
  <c r="K1199" i="1"/>
  <c r="L1199" i="1"/>
  <c r="M1199" i="1"/>
  <c r="A1200" i="1"/>
  <c r="B1200" i="1"/>
  <c r="C1200" i="1"/>
  <c r="D1200" i="1"/>
  <c r="E1200" i="1"/>
  <c r="F1200" i="1"/>
  <c r="G1200" i="1"/>
  <c r="H1200" i="1"/>
  <c r="I1200" i="1"/>
  <c r="J1200" i="1"/>
  <c r="K1200" i="1"/>
  <c r="L1200" i="1"/>
  <c r="M1200" i="1"/>
  <c r="A1201" i="1"/>
  <c r="B1201" i="1"/>
  <c r="C1201" i="1"/>
  <c r="D1201" i="1"/>
  <c r="E1201" i="1"/>
  <c r="F1201" i="1"/>
  <c r="G1201" i="1"/>
  <c r="H1201" i="1"/>
  <c r="I1201" i="1"/>
  <c r="J1201" i="1"/>
  <c r="K1201" i="1"/>
  <c r="L1201" i="1"/>
  <c r="M1201" i="1"/>
  <c r="A1202" i="1"/>
  <c r="B1202" i="1"/>
  <c r="C1202" i="1"/>
  <c r="D1202" i="1"/>
  <c r="E1202" i="1"/>
  <c r="F1202" i="1"/>
  <c r="G1202" i="1"/>
  <c r="H1202" i="1"/>
  <c r="I1202" i="1"/>
  <c r="J1202" i="1"/>
  <c r="K1202" i="1"/>
  <c r="L1202" i="1"/>
  <c r="M1202" i="1"/>
  <c r="A1203" i="1"/>
  <c r="B1203" i="1"/>
  <c r="C1203" i="1"/>
  <c r="D1203" i="1"/>
  <c r="E1203" i="1"/>
  <c r="F1203" i="1"/>
  <c r="G1203" i="1"/>
  <c r="H1203" i="1"/>
  <c r="I1203" i="1"/>
  <c r="J1203" i="1"/>
  <c r="K1203" i="1"/>
  <c r="L1203" i="1"/>
  <c r="M1203" i="1"/>
  <c r="A1204" i="1"/>
  <c r="B1204" i="1"/>
  <c r="C1204" i="1"/>
  <c r="D1204" i="1"/>
  <c r="E1204" i="1"/>
  <c r="F1204" i="1"/>
  <c r="G1204" i="1"/>
  <c r="H1204" i="1"/>
  <c r="I1204" i="1"/>
  <c r="J1204" i="1"/>
  <c r="K1204" i="1"/>
  <c r="L1204" i="1"/>
  <c r="M1204" i="1"/>
  <c r="A1205" i="1"/>
  <c r="B1205" i="1"/>
  <c r="C1205" i="1"/>
  <c r="D1205" i="1"/>
  <c r="E1205" i="1"/>
  <c r="F1205" i="1"/>
  <c r="G1205" i="1"/>
  <c r="H1205" i="1"/>
  <c r="I1205" i="1"/>
  <c r="J1205" i="1"/>
  <c r="K1205" i="1"/>
  <c r="L1205" i="1"/>
  <c r="M1205" i="1"/>
  <c r="A1206" i="1"/>
  <c r="B1206" i="1"/>
  <c r="C1206" i="1"/>
  <c r="D1206" i="1"/>
  <c r="E1206" i="1"/>
  <c r="F1206" i="1"/>
  <c r="G1206" i="1"/>
  <c r="H1206" i="1"/>
  <c r="I1206" i="1"/>
  <c r="J1206" i="1"/>
  <c r="K1206" i="1"/>
  <c r="L1206" i="1"/>
  <c r="M1206" i="1"/>
  <c r="A1207" i="1"/>
  <c r="B1207" i="1"/>
  <c r="C1207" i="1"/>
  <c r="D1207" i="1"/>
  <c r="E1207" i="1"/>
  <c r="F1207" i="1"/>
  <c r="G1207" i="1"/>
  <c r="H1207" i="1"/>
  <c r="I1207" i="1"/>
  <c r="J1207" i="1"/>
  <c r="K1207" i="1"/>
  <c r="L1207" i="1"/>
  <c r="M1207" i="1"/>
  <c r="A1208" i="1"/>
  <c r="B1208" i="1"/>
  <c r="C1208" i="1"/>
  <c r="D1208" i="1"/>
  <c r="E1208" i="1"/>
  <c r="F1208" i="1"/>
  <c r="G1208" i="1"/>
  <c r="H1208" i="1"/>
  <c r="I1208" i="1"/>
  <c r="J1208" i="1"/>
  <c r="K1208" i="1"/>
  <c r="L1208" i="1"/>
  <c r="M1208" i="1"/>
  <c r="A1209" i="1"/>
  <c r="B1209" i="1"/>
  <c r="C1209" i="1"/>
  <c r="D1209" i="1"/>
  <c r="E1209" i="1"/>
  <c r="F1209" i="1"/>
  <c r="G1209" i="1"/>
  <c r="H1209" i="1"/>
  <c r="I1209" i="1"/>
  <c r="J1209" i="1"/>
  <c r="K1209" i="1"/>
  <c r="L1209" i="1"/>
  <c r="M1209" i="1"/>
  <c r="A1210" i="1"/>
  <c r="B1210" i="1"/>
  <c r="C1210" i="1"/>
  <c r="D1210" i="1"/>
  <c r="E1210" i="1"/>
  <c r="F1210" i="1"/>
  <c r="G1210" i="1"/>
  <c r="H1210" i="1"/>
  <c r="I1210" i="1"/>
  <c r="J1210" i="1"/>
  <c r="K1210" i="1"/>
  <c r="L1210" i="1"/>
  <c r="M1210" i="1"/>
  <c r="A1211" i="1"/>
  <c r="B1211" i="1"/>
  <c r="C1211" i="1"/>
  <c r="D1211" i="1"/>
  <c r="E1211" i="1"/>
  <c r="F1211" i="1"/>
  <c r="G1211" i="1"/>
  <c r="H1211" i="1"/>
  <c r="I1211" i="1"/>
  <c r="J1211" i="1"/>
  <c r="K1211" i="1"/>
  <c r="L1211" i="1"/>
  <c r="M1211" i="1"/>
  <c r="A1212" i="1"/>
  <c r="B1212" i="1"/>
  <c r="C1212" i="1"/>
  <c r="D1212" i="1"/>
  <c r="E1212" i="1"/>
  <c r="F1212" i="1"/>
  <c r="G1212" i="1"/>
  <c r="H1212" i="1"/>
  <c r="I1212" i="1"/>
  <c r="J1212" i="1"/>
  <c r="K1212" i="1"/>
  <c r="L1212" i="1"/>
  <c r="M1212" i="1"/>
  <c r="A1213" i="1"/>
  <c r="B1213" i="1"/>
  <c r="C1213" i="1"/>
  <c r="D1213" i="1"/>
  <c r="E1213" i="1"/>
  <c r="F1213" i="1"/>
  <c r="G1213" i="1"/>
  <c r="H1213" i="1"/>
  <c r="I1213" i="1"/>
  <c r="J1213" i="1"/>
  <c r="K1213" i="1"/>
  <c r="L1213" i="1"/>
  <c r="M1213" i="1"/>
  <c r="A1214" i="1"/>
  <c r="B1214" i="1"/>
  <c r="C1214" i="1"/>
  <c r="D1214" i="1"/>
  <c r="E1214" i="1"/>
  <c r="F1214" i="1"/>
  <c r="G1214" i="1"/>
  <c r="H1214" i="1"/>
  <c r="I1214" i="1"/>
  <c r="J1214" i="1"/>
  <c r="K1214" i="1"/>
  <c r="L1214" i="1"/>
  <c r="M1214" i="1"/>
  <c r="A1215" i="1"/>
  <c r="B1215" i="1"/>
  <c r="C1215" i="1"/>
  <c r="D1215" i="1"/>
  <c r="E1215" i="1"/>
  <c r="F1215" i="1"/>
  <c r="G1215" i="1"/>
  <c r="H1215" i="1"/>
  <c r="I1215" i="1"/>
  <c r="J1215" i="1"/>
  <c r="K1215" i="1"/>
  <c r="L1215" i="1"/>
  <c r="M1215" i="1"/>
  <c r="A1216" i="1"/>
  <c r="B1216" i="1"/>
  <c r="C1216" i="1"/>
  <c r="D1216" i="1"/>
  <c r="E1216" i="1"/>
  <c r="F1216" i="1"/>
  <c r="G1216" i="1"/>
  <c r="H1216" i="1"/>
  <c r="I1216" i="1"/>
  <c r="J1216" i="1"/>
  <c r="K1216" i="1"/>
  <c r="L1216" i="1"/>
  <c r="M1216" i="1"/>
  <c r="A1217" i="1"/>
  <c r="B1217" i="1"/>
  <c r="C1217" i="1"/>
  <c r="D1217" i="1"/>
  <c r="E1217" i="1"/>
  <c r="F1217" i="1"/>
  <c r="G1217" i="1"/>
  <c r="H1217" i="1"/>
  <c r="I1217" i="1"/>
  <c r="J1217" i="1"/>
  <c r="K1217" i="1"/>
  <c r="L1217" i="1"/>
  <c r="M1217" i="1"/>
  <c r="A1218" i="1"/>
  <c r="B1218" i="1"/>
  <c r="C1218" i="1"/>
  <c r="D1218" i="1"/>
  <c r="E1218" i="1"/>
  <c r="F1218" i="1"/>
  <c r="G1218" i="1"/>
  <c r="H1218" i="1"/>
  <c r="I1218" i="1"/>
  <c r="J1218" i="1"/>
  <c r="K1218" i="1"/>
  <c r="L1218" i="1"/>
  <c r="M1218" i="1"/>
  <c r="A1219" i="1"/>
  <c r="B1219" i="1"/>
  <c r="C1219" i="1"/>
  <c r="D1219" i="1"/>
  <c r="E1219" i="1"/>
  <c r="F1219" i="1"/>
  <c r="G1219" i="1"/>
  <c r="H1219" i="1"/>
  <c r="I1219" i="1"/>
  <c r="J1219" i="1"/>
  <c r="K1219" i="1"/>
  <c r="L1219" i="1"/>
  <c r="M1219" i="1"/>
  <c r="A1220" i="1"/>
  <c r="B1220" i="1"/>
  <c r="C1220" i="1"/>
  <c r="D1220" i="1"/>
  <c r="E1220" i="1"/>
  <c r="F1220" i="1"/>
  <c r="G1220" i="1"/>
  <c r="H1220" i="1"/>
  <c r="I1220" i="1"/>
  <c r="J1220" i="1"/>
  <c r="K1220" i="1"/>
  <c r="L1220" i="1"/>
  <c r="M1220" i="1"/>
  <c r="A1221" i="1"/>
  <c r="B1221" i="1"/>
  <c r="C1221" i="1"/>
  <c r="D1221" i="1"/>
  <c r="E1221" i="1"/>
  <c r="F1221" i="1"/>
  <c r="G1221" i="1"/>
  <c r="H1221" i="1"/>
  <c r="I1221" i="1"/>
  <c r="J1221" i="1"/>
  <c r="K1221" i="1"/>
  <c r="L1221" i="1"/>
  <c r="M1221" i="1"/>
  <c r="A1222" i="1"/>
  <c r="B1222" i="1"/>
  <c r="C1222" i="1"/>
  <c r="D1222" i="1"/>
  <c r="E1222" i="1"/>
  <c r="F1222" i="1"/>
  <c r="G1222" i="1"/>
  <c r="H1222" i="1"/>
  <c r="I1222" i="1"/>
  <c r="J1222" i="1"/>
  <c r="K1222" i="1"/>
  <c r="L1222" i="1"/>
  <c r="M1222" i="1"/>
  <c r="A1223" i="1"/>
  <c r="B1223" i="1"/>
  <c r="C1223" i="1"/>
  <c r="D1223" i="1"/>
  <c r="E1223" i="1"/>
  <c r="F1223" i="1"/>
  <c r="G1223" i="1"/>
  <c r="H1223" i="1"/>
  <c r="I1223" i="1"/>
  <c r="J1223" i="1"/>
  <c r="K1223" i="1"/>
  <c r="L1223" i="1"/>
  <c r="M1223" i="1"/>
  <c r="A1224" i="1"/>
  <c r="B1224" i="1"/>
  <c r="C1224" i="1"/>
  <c r="D1224" i="1"/>
  <c r="E1224" i="1"/>
  <c r="F1224" i="1"/>
  <c r="G1224" i="1"/>
  <c r="H1224" i="1"/>
  <c r="I1224" i="1"/>
  <c r="J1224" i="1"/>
  <c r="K1224" i="1"/>
  <c r="L1224" i="1"/>
  <c r="M1224" i="1"/>
  <c r="A1225" i="1"/>
  <c r="B1225" i="1"/>
  <c r="C1225" i="1"/>
  <c r="D1225" i="1"/>
  <c r="E1225" i="1"/>
  <c r="F1225" i="1"/>
  <c r="G1225" i="1"/>
  <c r="H1225" i="1"/>
  <c r="I1225" i="1"/>
  <c r="J1225" i="1"/>
  <c r="K1225" i="1"/>
  <c r="L1225" i="1"/>
  <c r="M1225" i="1"/>
  <c r="A1226" i="1"/>
  <c r="B1226" i="1"/>
  <c r="C1226" i="1"/>
  <c r="D1226" i="1"/>
  <c r="E1226" i="1"/>
  <c r="F1226" i="1"/>
  <c r="G1226" i="1"/>
  <c r="H1226" i="1"/>
  <c r="I1226" i="1"/>
  <c r="J1226" i="1"/>
  <c r="K1226" i="1"/>
  <c r="L1226" i="1"/>
  <c r="M1226" i="1"/>
  <c r="A1227" i="1"/>
  <c r="B1227" i="1"/>
  <c r="C1227" i="1"/>
  <c r="D1227" i="1"/>
  <c r="E1227" i="1"/>
  <c r="F1227" i="1"/>
  <c r="G1227" i="1"/>
  <c r="H1227" i="1"/>
  <c r="I1227" i="1"/>
  <c r="J1227" i="1"/>
  <c r="K1227" i="1"/>
  <c r="L1227" i="1"/>
  <c r="M1227" i="1"/>
  <c r="A1228" i="1"/>
  <c r="B1228" i="1"/>
  <c r="C1228" i="1"/>
  <c r="D1228" i="1"/>
  <c r="E1228" i="1"/>
  <c r="F1228" i="1"/>
  <c r="G1228" i="1"/>
  <c r="H1228" i="1"/>
  <c r="I1228" i="1"/>
  <c r="J1228" i="1"/>
  <c r="K1228" i="1"/>
  <c r="L1228" i="1"/>
  <c r="M1228" i="1"/>
  <c r="A1229" i="1"/>
  <c r="B1229" i="1"/>
  <c r="C1229" i="1"/>
  <c r="D1229" i="1"/>
  <c r="E1229" i="1"/>
  <c r="F1229" i="1"/>
  <c r="G1229" i="1"/>
  <c r="H1229" i="1"/>
  <c r="I1229" i="1"/>
  <c r="J1229" i="1"/>
  <c r="K1229" i="1"/>
  <c r="L1229" i="1"/>
  <c r="M1229" i="1"/>
  <c r="A1230" i="1"/>
  <c r="B1230" i="1"/>
  <c r="C1230" i="1"/>
  <c r="D1230" i="1"/>
  <c r="E1230" i="1"/>
  <c r="F1230" i="1"/>
  <c r="G1230" i="1"/>
  <c r="H1230" i="1"/>
  <c r="I1230" i="1"/>
  <c r="J1230" i="1"/>
  <c r="K1230" i="1"/>
  <c r="L1230" i="1"/>
  <c r="M1230" i="1"/>
  <c r="A1231" i="1"/>
  <c r="B1231" i="1"/>
  <c r="C1231" i="1"/>
  <c r="D1231" i="1"/>
  <c r="E1231" i="1"/>
  <c r="F1231" i="1"/>
  <c r="G1231" i="1"/>
  <c r="H1231" i="1"/>
  <c r="I1231" i="1"/>
  <c r="J1231" i="1"/>
  <c r="K1231" i="1"/>
  <c r="L1231" i="1"/>
  <c r="M1231" i="1"/>
  <c r="A1232" i="1"/>
  <c r="B1232" i="1"/>
  <c r="C1232" i="1"/>
  <c r="D1232" i="1"/>
  <c r="E1232" i="1"/>
  <c r="F1232" i="1"/>
  <c r="G1232" i="1"/>
  <c r="H1232" i="1"/>
  <c r="I1232" i="1"/>
  <c r="J1232" i="1"/>
  <c r="K1232" i="1"/>
  <c r="L1232" i="1"/>
  <c r="M1232" i="1"/>
  <c r="A1233" i="1"/>
  <c r="B1233" i="1"/>
  <c r="C1233" i="1"/>
  <c r="D1233" i="1"/>
  <c r="E1233" i="1"/>
  <c r="F1233" i="1"/>
  <c r="G1233" i="1"/>
  <c r="H1233" i="1"/>
  <c r="I1233" i="1"/>
  <c r="J1233" i="1"/>
  <c r="K1233" i="1"/>
  <c r="L1233" i="1"/>
  <c r="M1233" i="1"/>
  <c r="A1234" i="1"/>
  <c r="B1234" i="1"/>
  <c r="C1234" i="1"/>
  <c r="D1234" i="1"/>
  <c r="E1234" i="1"/>
  <c r="F1234" i="1"/>
  <c r="G1234" i="1"/>
  <c r="H1234" i="1"/>
  <c r="I1234" i="1"/>
  <c r="J1234" i="1"/>
  <c r="K1234" i="1"/>
  <c r="L1234" i="1"/>
  <c r="M1234" i="1"/>
  <c r="A1235" i="1"/>
  <c r="B1235" i="1"/>
  <c r="C1235" i="1"/>
  <c r="D1235" i="1"/>
  <c r="E1235" i="1"/>
  <c r="F1235" i="1"/>
  <c r="G1235" i="1"/>
  <c r="H1235" i="1"/>
  <c r="I1235" i="1"/>
  <c r="J1235" i="1"/>
  <c r="K1235" i="1"/>
  <c r="L1235" i="1"/>
  <c r="M1235" i="1"/>
  <c r="A1236" i="1"/>
  <c r="B1236" i="1"/>
  <c r="C1236" i="1"/>
  <c r="D1236" i="1"/>
  <c r="E1236" i="1"/>
  <c r="F1236" i="1"/>
  <c r="G1236" i="1"/>
  <c r="H1236" i="1"/>
  <c r="I1236" i="1"/>
  <c r="J1236" i="1"/>
  <c r="K1236" i="1"/>
  <c r="L1236" i="1"/>
  <c r="M1236" i="1"/>
  <c r="A1237" i="1"/>
  <c r="B1237" i="1"/>
  <c r="C1237" i="1"/>
  <c r="D1237" i="1"/>
  <c r="E1237" i="1"/>
  <c r="F1237" i="1"/>
  <c r="G1237" i="1"/>
  <c r="H1237" i="1"/>
  <c r="I1237" i="1"/>
  <c r="J1237" i="1"/>
  <c r="K1237" i="1"/>
  <c r="L1237" i="1"/>
  <c r="M1237" i="1"/>
  <c r="A1238" i="1"/>
  <c r="B1238" i="1"/>
  <c r="C1238" i="1"/>
  <c r="D1238" i="1"/>
  <c r="E1238" i="1"/>
  <c r="F1238" i="1"/>
  <c r="G1238" i="1"/>
  <c r="H1238" i="1"/>
  <c r="I1238" i="1"/>
  <c r="J1238" i="1"/>
  <c r="K1238" i="1"/>
  <c r="L1238" i="1"/>
  <c r="M1238" i="1"/>
  <c r="A1239" i="1"/>
  <c r="B1239" i="1"/>
  <c r="C1239" i="1"/>
  <c r="D1239" i="1"/>
  <c r="E1239" i="1"/>
  <c r="F1239" i="1"/>
  <c r="G1239" i="1"/>
  <c r="H1239" i="1"/>
  <c r="I1239" i="1"/>
  <c r="J1239" i="1"/>
  <c r="K1239" i="1"/>
  <c r="L1239" i="1"/>
  <c r="M1239" i="1"/>
  <c r="A1240" i="1"/>
  <c r="B1240" i="1"/>
  <c r="C1240" i="1"/>
  <c r="D1240" i="1"/>
  <c r="E1240" i="1"/>
  <c r="F1240" i="1"/>
  <c r="G1240" i="1"/>
  <c r="H1240" i="1"/>
  <c r="I1240" i="1"/>
  <c r="J1240" i="1"/>
  <c r="K1240" i="1"/>
  <c r="L1240" i="1"/>
  <c r="M1240" i="1"/>
  <c r="A1241" i="1"/>
  <c r="B1241" i="1"/>
  <c r="C1241" i="1"/>
  <c r="D1241" i="1"/>
  <c r="E1241" i="1"/>
  <c r="F1241" i="1"/>
  <c r="G1241" i="1"/>
  <c r="H1241" i="1"/>
  <c r="I1241" i="1"/>
  <c r="J1241" i="1"/>
  <c r="K1241" i="1"/>
  <c r="L1241" i="1"/>
  <c r="M1241" i="1"/>
  <c r="A1242" i="1"/>
  <c r="B1242" i="1"/>
  <c r="C1242" i="1"/>
  <c r="D1242" i="1"/>
  <c r="E1242" i="1"/>
  <c r="F1242" i="1"/>
  <c r="G1242" i="1"/>
  <c r="H1242" i="1"/>
  <c r="I1242" i="1"/>
  <c r="J1242" i="1"/>
  <c r="K1242" i="1"/>
  <c r="L1242" i="1"/>
  <c r="M1242" i="1"/>
  <c r="A1243" i="1"/>
  <c r="B1243" i="1"/>
  <c r="C1243" i="1"/>
  <c r="D1243" i="1"/>
  <c r="E1243" i="1"/>
  <c r="F1243" i="1"/>
  <c r="G1243" i="1"/>
  <c r="H1243" i="1"/>
  <c r="I1243" i="1"/>
  <c r="J1243" i="1"/>
  <c r="K1243" i="1"/>
  <c r="L1243" i="1"/>
  <c r="M1243" i="1"/>
  <c r="A1244" i="1"/>
  <c r="B1244" i="1"/>
  <c r="C1244" i="1"/>
  <c r="D1244" i="1"/>
  <c r="E1244" i="1"/>
  <c r="F1244" i="1"/>
  <c r="G1244" i="1"/>
  <c r="H1244" i="1"/>
  <c r="I1244" i="1"/>
  <c r="J1244" i="1"/>
  <c r="K1244" i="1"/>
  <c r="L1244" i="1"/>
  <c r="M1244" i="1"/>
  <c r="A1245" i="1"/>
  <c r="B1245" i="1"/>
  <c r="C1245" i="1"/>
  <c r="D1245" i="1"/>
  <c r="E1245" i="1"/>
  <c r="F1245" i="1"/>
  <c r="G1245" i="1"/>
  <c r="H1245" i="1"/>
  <c r="I1245" i="1"/>
  <c r="J1245" i="1"/>
  <c r="K1245" i="1"/>
  <c r="L1245" i="1"/>
  <c r="M1245" i="1"/>
  <c r="A1246" i="1"/>
  <c r="B1246" i="1"/>
  <c r="C1246" i="1"/>
  <c r="D1246" i="1"/>
  <c r="E1246" i="1"/>
  <c r="F1246" i="1"/>
  <c r="G1246" i="1"/>
  <c r="H1246" i="1"/>
  <c r="I1246" i="1"/>
  <c r="J1246" i="1"/>
  <c r="K1246" i="1"/>
  <c r="L1246" i="1"/>
  <c r="M1246" i="1"/>
  <c r="A1247" i="1"/>
  <c r="B1247" i="1"/>
  <c r="C1247" i="1"/>
  <c r="D1247" i="1"/>
  <c r="E1247" i="1"/>
  <c r="F1247" i="1"/>
  <c r="G1247" i="1"/>
  <c r="H1247" i="1"/>
  <c r="I1247" i="1"/>
  <c r="J1247" i="1"/>
  <c r="K1247" i="1"/>
  <c r="L1247" i="1"/>
  <c r="M1247" i="1"/>
  <c r="A1248" i="1"/>
  <c r="B1248" i="1"/>
  <c r="C1248" i="1"/>
  <c r="D1248" i="1"/>
  <c r="E1248" i="1"/>
  <c r="F1248" i="1"/>
  <c r="G1248" i="1"/>
  <c r="H1248" i="1"/>
  <c r="I1248" i="1"/>
  <c r="J1248" i="1"/>
  <c r="K1248" i="1"/>
  <c r="L1248" i="1"/>
  <c r="M1248" i="1"/>
  <c r="A1249" i="1"/>
  <c r="B1249" i="1"/>
  <c r="C1249" i="1"/>
  <c r="D1249" i="1"/>
  <c r="E1249" i="1"/>
  <c r="F1249" i="1"/>
  <c r="G1249" i="1"/>
  <c r="H1249" i="1"/>
  <c r="I1249" i="1"/>
  <c r="J1249" i="1"/>
  <c r="K1249" i="1"/>
  <c r="L1249" i="1"/>
  <c r="M1249" i="1"/>
  <c r="A1250" i="1"/>
  <c r="B1250" i="1"/>
  <c r="C1250" i="1"/>
  <c r="D1250" i="1"/>
  <c r="E1250" i="1"/>
  <c r="F1250" i="1"/>
  <c r="G1250" i="1"/>
  <c r="H1250" i="1"/>
  <c r="I1250" i="1"/>
  <c r="J1250" i="1"/>
  <c r="K1250" i="1"/>
  <c r="L1250" i="1"/>
  <c r="M1250" i="1"/>
  <c r="A1251" i="1"/>
  <c r="B1251" i="1"/>
  <c r="C1251" i="1"/>
  <c r="D1251" i="1"/>
  <c r="E1251" i="1"/>
  <c r="F1251" i="1"/>
  <c r="G1251" i="1"/>
  <c r="H1251" i="1"/>
  <c r="I1251" i="1"/>
  <c r="J1251" i="1"/>
  <c r="K1251" i="1"/>
  <c r="L1251" i="1"/>
  <c r="M1251" i="1"/>
  <c r="A1252" i="1"/>
  <c r="B1252" i="1"/>
  <c r="C1252" i="1"/>
  <c r="D1252" i="1"/>
  <c r="E1252" i="1"/>
  <c r="F1252" i="1"/>
  <c r="G1252" i="1"/>
  <c r="H1252" i="1"/>
  <c r="I1252" i="1"/>
  <c r="J1252" i="1"/>
  <c r="K1252" i="1"/>
  <c r="L1252" i="1"/>
  <c r="M1252" i="1"/>
  <c r="A1253" i="1"/>
  <c r="B1253" i="1"/>
  <c r="C1253" i="1"/>
  <c r="D1253" i="1"/>
  <c r="E1253" i="1"/>
  <c r="F1253" i="1"/>
  <c r="G1253" i="1"/>
  <c r="H1253" i="1"/>
  <c r="I1253" i="1"/>
  <c r="J1253" i="1"/>
  <c r="K1253" i="1"/>
  <c r="L1253" i="1"/>
  <c r="M1253" i="1"/>
  <c r="A1254" i="1"/>
  <c r="B1254" i="1"/>
  <c r="C1254" i="1"/>
  <c r="D1254" i="1"/>
  <c r="E1254" i="1"/>
  <c r="F1254" i="1"/>
  <c r="G1254" i="1"/>
  <c r="H1254" i="1"/>
  <c r="I1254" i="1"/>
  <c r="J1254" i="1"/>
  <c r="K1254" i="1"/>
  <c r="L1254" i="1"/>
  <c r="M1254" i="1"/>
  <c r="A1255" i="1"/>
  <c r="B1255" i="1"/>
  <c r="C1255" i="1"/>
  <c r="D1255" i="1"/>
  <c r="E1255" i="1"/>
  <c r="F1255" i="1"/>
  <c r="G1255" i="1"/>
  <c r="H1255" i="1"/>
  <c r="I1255" i="1"/>
  <c r="J1255" i="1"/>
  <c r="K1255" i="1"/>
  <c r="L1255" i="1"/>
  <c r="M1255" i="1"/>
  <c r="A1256" i="1"/>
  <c r="B1256" i="1"/>
  <c r="C1256" i="1"/>
  <c r="D1256" i="1"/>
  <c r="E1256" i="1"/>
  <c r="F1256" i="1"/>
  <c r="G1256" i="1"/>
  <c r="H1256" i="1"/>
  <c r="I1256" i="1"/>
  <c r="J1256" i="1"/>
  <c r="K1256" i="1"/>
  <c r="L1256" i="1"/>
  <c r="M1256" i="1"/>
  <c r="A1257" i="1"/>
  <c r="B1257" i="1"/>
  <c r="C1257" i="1"/>
  <c r="D1257" i="1"/>
  <c r="E1257" i="1"/>
  <c r="F1257" i="1"/>
  <c r="G1257" i="1"/>
  <c r="H1257" i="1"/>
  <c r="I1257" i="1"/>
  <c r="J1257" i="1"/>
  <c r="K1257" i="1"/>
  <c r="L1257" i="1"/>
  <c r="M1257" i="1"/>
  <c r="A1258" i="1"/>
  <c r="B1258" i="1"/>
  <c r="C1258" i="1"/>
  <c r="D1258" i="1"/>
  <c r="E1258" i="1"/>
  <c r="F1258" i="1"/>
  <c r="G1258" i="1"/>
  <c r="H1258" i="1"/>
  <c r="I1258" i="1"/>
  <c r="J1258" i="1"/>
  <c r="K1258" i="1"/>
  <c r="L1258" i="1"/>
  <c r="M1258" i="1"/>
  <c r="A1259" i="1"/>
  <c r="B1259" i="1"/>
  <c r="C1259" i="1"/>
  <c r="D1259" i="1"/>
  <c r="E1259" i="1"/>
  <c r="F1259" i="1"/>
  <c r="G1259" i="1"/>
  <c r="H1259" i="1"/>
  <c r="I1259" i="1"/>
  <c r="J1259" i="1"/>
  <c r="K1259" i="1"/>
  <c r="L1259" i="1"/>
  <c r="M1259" i="1"/>
  <c r="A1260" i="1"/>
  <c r="B1260" i="1"/>
  <c r="C1260" i="1"/>
  <c r="D1260" i="1"/>
  <c r="E1260" i="1"/>
  <c r="F1260" i="1"/>
  <c r="G1260" i="1"/>
  <c r="H1260" i="1"/>
  <c r="I1260" i="1"/>
  <c r="J1260" i="1"/>
  <c r="K1260" i="1"/>
  <c r="L1260" i="1"/>
  <c r="M1260" i="1"/>
  <c r="A1261" i="1"/>
  <c r="B1261" i="1"/>
  <c r="C1261" i="1"/>
  <c r="D1261" i="1"/>
  <c r="E1261" i="1"/>
  <c r="F1261" i="1"/>
  <c r="G1261" i="1"/>
  <c r="H1261" i="1"/>
  <c r="I1261" i="1"/>
  <c r="J1261" i="1"/>
  <c r="K1261" i="1"/>
  <c r="L1261" i="1"/>
  <c r="M1261" i="1"/>
  <c r="A1262" i="1"/>
  <c r="B1262" i="1"/>
  <c r="C1262" i="1"/>
  <c r="D1262" i="1"/>
  <c r="E1262" i="1"/>
  <c r="F1262" i="1"/>
  <c r="G1262" i="1"/>
  <c r="H1262" i="1"/>
  <c r="I1262" i="1"/>
  <c r="J1262" i="1"/>
  <c r="K1262" i="1"/>
  <c r="L1262" i="1"/>
  <c r="M1262" i="1"/>
  <c r="A1263" i="1"/>
  <c r="B1263" i="1"/>
  <c r="C1263" i="1"/>
  <c r="D1263" i="1"/>
  <c r="E1263" i="1"/>
  <c r="F1263" i="1"/>
  <c r="G1263" i="1"/>
  <c r="H1263" i="1"/>
  <c r="I1263" i="1"/>
  <c r="J1263" i="1"/>
  <c r="K1263" i="1"/>
  <c r="L1263" i="1"/>
  <c r="M1263" i="1"/>
  <c r="A1264" i="1"/>
  <c r="B1264" i="1"/>
  <c r="C1264" i="1"/>
  <c r="D1264" i="1"/>
  <c r="E1264" i="1"/>
  <c r="F1264" i="1"/>
  <c r="G1264" i="1"/>
  <c r="H1264" i="1"/>
  <c r="I1264" i="1"/>
  <c r="J1264" i="1"/>
  <c r="K1264" i="1"/>
  <c r="L1264" i="1"/>
  <c r="M1264" i="1"/>
  <c r="A1265" i="1"/>
  <c r="B1265" i="1"/>
  <c r="C1265" i="1"/>
  <c r="D1265" i="1"/>
  <c r="E1265" i="1"/>
  <c r="F1265" i="1"/>
  <c r="G1265" i="1"/>
  <c r="H1265" i="1"/>
  <c r="I1265" i="1"/>
  <c r="J1265" i="1"/>
  <c r="K1265" i="1"/>
  <c r="L1265" i="1"/>
  <c r="M1265" i="1"/>
  <c r="A1266" i="1"/>
  <c r="B1266" i="1"/>
  <c r="C1266" i="1"/>
  <c r="D1266" i="1"/>
  <c r="E1266" i="1"/>
  <c r="F1266" i="1"/>
  <c r="G1266" i="1"/>
  <c r="H1266" i="1"/>
  <c r="I1266" i="1"/>
  <c r="J1266" i="1"/>
  <c r="K1266" i="1"/>
  <c r="L1266" i="1"/>
  <c r="M1266" i="1"/>
  <c r="A1267" i="1"/>
  <c r="B1267" i="1"/>
  <c r="C1267" i="1"/>
  <c r="D1267" i="1"/>
  <c r="E1267" i="1"/>
  <c r="F1267" i="1"/>
  <c r="G1267" i="1"/>
  <c r="H1267" i="1"/>
  <c r="I1267" i="1"/>
  <c r="J1267" i="1"/>
  <c r="K1267" i="1"/>
  <c r="L1267" i="1"/>
  <c r="M1267" i="1"/>
  <c r="A1268" i="1"/>
  <c r="B1268" i="1"/>
  <c r="C1268" i="1"/>
  <c r="D1268" i="1"/>
  <c r="E1268" i="1"/>
  <c r="F1268" i="1"/>
  <c r="G1268" i="1"/>
  <c r="H1268" i="1"/>
  <c r="I1268" i="1"/>
  <c r="J1268" i="1"/>
  <c r="K1268" i="1"/>
  <c r="L1268" i="1"/>
  <c r="M1268" i="1"/>
  <c r="A1269" i="1"/>
  <c r="B1269" i="1"/>
  <c r="C1269" i="1"/>
  <c r="D1269" i="1"/>
  <c r="E1269" i="1"/>
  <c r="F1269" i="1"/>
  <c r="G1269" i="1"/>
  <c r="H1269" i="1"/>
  <c r="I1269" i="1"/>
  <c r="J1269" i="1"/>
  <c r="K1269" i="1"/>
  <c r="L1269" i="1"/>
  <c r="M1269" i="1"/>
  <c r="A1270" i="1"/>
  <c r="B1270" i="1"/>
  <c r="C1270" i="1"/>
  <c r="D1270" i="1"/>
  <c r="E1270" i="1"/>
  <c r="F1270" i="1"/>
  <c r="G1270" i="1"/>
  <c r="H1270" i="1"/>
  <c r="I1270" i="1"/>
  <c r="J1270" i="1"/>
  <c r="K1270" i="1"/>
  <c r="L1270" i="1"/>
  <c r="M1270" i="1"/>
  <c r="A1271" i="1"/>
  <c r="B1271" i="1"/>
  <c r="C1271" i="1"/>
  <c r="D1271" i="1"/>
  <c r="E1271" i="1"/>
  <c r="F1271" i="1"/>
  <c r="G1271" i="1"/>
  <c r="H1271" i="1"/>
  <c r="I1271" i="1"/>
  <c r="J1271" i="1"/>
  <c r="K1271" i="1"/>
  <c r="L1271" i="1"/>
  <c r="M1271" i="1"/>
  <c r="A1272" i="1"/>
  <c r="B1272" i="1"/>
  <c r="C1272" i="1"/>
  <c r="D1272" i="1"/>
  <c r="E1272" i="1"/>
  <c r="F1272" i="1"/>
  <c r="G1272" i="1"/>
  <c r="H1272" i="1"/>
  <c r="I1272" i="1"/>
  <c r="J1272" i="1"/>
  <c r="K1272" i="1"/>
  <c r="L1272" i="1"/>
  <c r="M1272" i="1"/>
  <c r="A1273" i="1"/>
  <c r="B1273" i="1"/>
  <c r="C1273" i="1"/>
  <c r="D1273" i="1"/>
  <c r="E1273" i="1"/>
  <c r="F1273" i="1"/>
  <c r="G1273" i="1"/>
  <c r="H1273" i="1"/>
  <c r="I1273" i="1"/>
  <c r="J1273" i="1"/>
  <c r="K1273" i="1"/>
  <c r="L1273" i="1"/>
  <c r="M1273" i="1"/>
  <c r="A1274" i="1"/>
  <c r="B1274" i="1"/>
  <c r="C1274" i="1"/>
  <c r="D1274" i="1"/>
  <c r="E1274" i="1"/>
  <c r="F1274" i="1"/>
  <c r="G1274" i="1"/>
  <c r="H1274" i="1"/>
  <c r="I1274" i="1"/>
  <c r="J1274" i="1"/>
  <c r="K1274" i="1"/>
  <c r="L1274" i="1"/>
  <c r="M1274" i="1"/>
  <c r="A1275" i="1"/>
  <c r="B1275" i="1"/>
  <c r="C1275" i="1"/>
  <c r="D1275" i="1"/>
  <c r="E1275" i="1"/>
  <c r="F1275" i="1"/>
  <c r="G1275" i="1"/>
  <c r="H1275" i="1"/>
  <c r="I1275" i="1"/>
  <c r="J1275" i="1"/>
  <c r="K1275" i="1"/>
  <c r="L1275" i="1"/>
  <c r="M1275" i="1"/>
  <c r="A1276" i="1"/>
  <c r="B1276" i="1"/>
  <c r="C1276" i="1"/>
  <c r="D1276" i="1"/>
  <c r="E1276" i="1"/>
  <c r="F1276" i="1"/>
  <c r="G1276" i="1"/>
  <c r="H1276" i="1"/>
  <c r="I1276" i="1"/>
  <c r="J1276" i="1"/>
  <c r="K1276" i="1"/>
  <c r="L1276" i="1"/>
  <c r="M1276" i="1"/>
  <c r="A1277" i="1"/>
  <c r="B1277" i="1"/>
  <c r="C1277" i="1"/>
  <c r="D1277" i="1"/>
  <c r="E1277" i="1"/>
  <c r="F1277" i="1"/>
  <c r="G1277" i="1"/>
  <c r="H1277" i="1"/>
  <c r="I1277" i="1"/>
  <c r="J1277" i="1"/>
  <c r="K1277" i="1"/>
  <c r="L1277" i="1"/>
  <c r="M1277" i="1"/>
  <c r="A1278" i="1"/>
  <c r="B1278" i="1"/>
  <c r="C1278" i="1"/>
  <c r="D1278" i="1"/>
  <c r="E1278" i="1"/>
  <c r="F1278" i="1"/>
  <c r="G1278" i="1"/>
  <c r="H1278" i="1"/>
  <c r="I1278" i="1"/>
  <c r="J1278" i="1"/>
  <c r="K1278" i="1"/>
  <c r="L1278" i="1"/>
  <c r="M1278" i="1"/>
  <c r="A1279" i="1"/>
  <c r="B1279" i="1"/>
  <c r="C1279" i="1"/>
  <c r="D1279" i="1"/>
  <c r="E1279" i="1"/>
  <c r="F1279" i="1"/>
  <c r="G1279" i="1"/>
  <c r="H1279" i="1"/>
  <c r="I1279" i="1"/>
  <c r="J1279" i="1"/>
  <c r="K1279" i="1"/>
  <c r="L1279" i="1"/>
  <c r="M1279" i="1"/>
  <c r="A1280" i="1"/>
  <c r="B1280" i="1"/>
  <c r="C1280" i="1"/>
  <c r="D1280" i="1"/>
  <c r="E1280" i="1"/>
  <c r="F1280" i="1"/>
  <c r="G1280" i="1"/>
  <c r="H1280" i="1"/>
  <c r="I1280" i="1"/>
  <c r="J1280" i="1"/>
  <c r="K1280" i="1"/>
  <c r="L1280" i="1"/>
  <c r="M1280" i="1"/>
  <c r="A1281" i="1"/>
  <c r="B1281" i="1"/>
  <c r="C1281" i="1"/>
  <c r="D1281" i="1"/>
  <c r="E1281" i="1"/>
  <c r="F1281" i="1"/>
  <c r="G1281" i="1"/>
  <c r="H1281" i="1"/>
  <c r="I1281" i="1"/>
  <c r="J1281" i="1"/>
  <c r="K1281" i="1"/>
  <c r="L1281" i="1"/>
  <c r="M1281" i="1"/>
  <c r="A1282" i="1"/>
  <c r="B1282" i="1"/>
  <c r="C1282" i="1"/>
  <c r="D1282" i="1"/>
  <c r="E1282" i="1"/>
  <c r="F1282" i="1"/>
  <c r="G1282" i="1"/>
  <c r="H1282" i="1"/>
  <c r="I1282" i="1"/>
  <c r="J1282" i="1"/>
  <c r="K1282" i="1"/>
  <c r="L1282" i="1"/>
  <c r="M1282" i="1"/>
  <c r="A1283" i="1"/>
  <c r="B1283" i="1"/>
  <c r="C1283" i="1"/>
  <c r="D1283" i="1"/>
  <c r="E1283" i="1"/>
  <c r="F1283" i="1"/>
  <c r="G1283" i="1"/>
  <c r="H1283" i="1"/>
  <c r="I1283" i="1"/>
  <c r="J1283" i="1"/>
  <c r="K1283" i="1"/>
  <c r="L1283" i="1"/>
  <c r="M1283" i="1"/>
  <c r="A1284" i="1"/>
  <c r="B1284" i="1"/>
  <c r="C1284" i="1"/>
  <c r="D1284" i="1"/>
  <c r="E1284" i="1"/>
  <c r="F1284" i="1"/>
  <c r="G1284" i="1"/>
  <c r="H1284" i="1"/>
  <c r="I1284" i="1"/>
  <c r="J1284" i="1"/>
  <c r="K1284" i="1"/>
  <c r="L1284" i="1"/>
  <c r="M1284" i="1"/>
  <c r="A1285" i="1"/>
  <c r="B1285" i="1"/>
  <c r="C1285" i="1"/>
  <c r="D1285" i="1"/>
  <c r="E1285" i="1"/>
  <c r="F1285" i="1"/>
  <c r="G1285" i="1"/>
  <c r="H1285" i="1"/>
  <c r="I1285" i="1"/>
  <c r="J1285" i="1"/>
  <c r="K1285" i="1"/>
  <c r="L1285" i="1"/>
  <c r="M1285" i="1"/>
  <c r="A1286" i="1"/>
  <c r="B1286" i="1"/>
  <c r="C1286" i="1"/>
  <c r="D1286" i="1"/>
  <c r="E1286" i="1"/>
  <c r="F1286" i="1"/>
  <c r="G1286" i="1"/>
  <c r="H1286" i="1"/>
  <c r="I1286" i="1"/>
  <c r="J1286" i="1"/>
  <c r="K1286" i="1"/>
  <c r="L1286" i="1"/>
  <c r="M1286" i="1"/>
  <c r="A1287" i="1"/>
  <c r="B1287" i="1"/>
  <c r="C1287" i="1"/>
  <c r="D1287" i="1"/>
  <c r="E1287" i="1"/>
  <c r="F1287" i="1"/>
  <c r="G1287" i="1"/>
  <c r="H1287" i="1"/>
  <c r="I1287" i="1"/>
  <c r="J1287" i="1"/>
  <c r="K1287" i="1"/>
  <c r="L1287" i="1"/>
  <c r="M1287" i="1"/>
  <c r="A1288" i="1"/>
  <c r="B1288" i="1"/>
  <c r="C1288" i="1"/>
  <c r="D1288" i="1"/>
  <c r="E1288" i="1"/>
  <c r="F1288" i="1"/>
  <c r="G1288" i="1"/>
  <c r="H1288" i="1"/>
  <c r="I1288" i="1"/>
  <c r="J1288" i="1"/>
  <c r="K1288" i="1"/>
  <c r="L1288" i="1"/>
  <c r="M1288" i="1"/>
  <c r="A1289" i="1"/>
  <c r="B1289" i="1"/>
  <c r="C1289" i="1"/>
  <c r="D1289" i="1"/>
  <c r="E1289" i="1"/>
  <c r="F1289" i="1"/>
  <c r="G1289" i="1"/>
  <c r="H1289" i="1"/>
  <c r="I1289" i="1"/>
  <c r="J1289" i="1"/>
  <c r="K1289" i="1"/>
  <c r="L1289" i="1"/>
  <c r="M1289" i="1"/>
  <c r="A1290" i="1"/>
  <c r="B1290" i="1"/>
  <c r="C1290" i="1"/>
  <c r="D1290" i="1"/>
  <c r="E1290" i="1"/>
  <c r="F1290" i="1"/>
  <c r="G1290" i="1"/>
  <c r="H1290" i="1"/>
  <c r="I1290" i="1"/>
  <c r="J1290" i="1"/>
  <c r="K1290" i="1"/>
  <c r="L1290" i="1"/>
  <c r="M1290" i="1"/>
  <c r="A1291" i="1"/>
  <c r="B1291" i="1"/>
  <c r="C1291" i="1"/>
  <c r="D1291" i="1"/>
  <c r="E1291" i="1"/>
  <c r="F1291" i="1"/>
  <c r="G1291" i="1"/>
  <c r="H1291" i="1"/>
  <c r="I1291" i="1"/>
  <c r="J1291" i="1"/>
  <c r="K1291" i="1"/>
  <c r="L1291" i="1"/>
  <c r="M1291" i="1"/>
  <c r="A1292" i="1"/>
  <c r="B1292" i="1"/>
  <c r="C1292" i="1"/>
  <c r="D1292" i="1"/>
  <c r="E1292" i="1"/>
  <c r="F1292" i="1"/>
  <c r="G1292" i="1"/>
  <c r="H1292" i="1"/>
  <c r="I1292" i="1"/>
  <c r="J1292" i="1"/>
  <c r="K1292" i="1"/>
  <c r="L1292" i="1"/>
  <c r="M1292" i="1"/>
  <c r="A1293" i="1"/>
  <c r="B1293" i="1"/>
  <c r="C1293" i="1"/>
  <c r="D1293" i="1"/>
  <c r="E1293" i="1"/>
  <c r="F1293" i="1"/>
  <c r="G1293" i="1"/>
  <c r="H1293" i="1"/>
  <c r="I1293" i="1"/>
  <c r="J1293" i="1"/>
  <c r="K1293" i="1"/>
  <c r="L1293" i="1"/>
  <c r="M1293" i="1"/>
  <c r="A1294" i="1"/>
  <c r="B1294" i="1"/>
  <c r="C1294" i="1"/>
  <c r="D1294" i="1"/>
  <c r="E1294" i="1"/>
  <c r="F1294" i="1"/>
  <c r="G1294" i="1"/>
  <c r="H1294" i="1"/>
  <c r="I1294" i="1"/>
  <c r="J1294" i="1"/>
  <c r="K1294" i="1"/>
  <c r="L1294" i="1"/>
  <c r="M1294" i="1"/>
  <c r="A1295" i="1"/>
  <c r="B1295" i="1"/>
  <c r="C1295" i="1"/>
  <c r="D1295" i="1"/>
  <c r="E1295" i="1"/>
  <c r="F1295" i="1"/>
  <c r="G1295" i="1"/>
  <c r="H1295" i="1"/>
  <c r="I1295" i="1"/>
  <c r="J1295" i="1"/>
  <c r="K1295" i="1"/>
  <c r="L1295" i="1"/>
  <c r="M1295" i="1"/>
  <c r="A1296" i="1"/>
  <c r="B1296" i="1"/>
  <c r="C1296" i="1"/>
  <c r="D1296" i="1"/>
  <c r="E1296" i="1"/>
  <c r="F1296" i="1"/>
  <c r="G1296" i="1"/>
  <c r="H1296" i="1"/>
  <c r="I1296" i="1"/>
  <c r="J1296" i="1"/>
  <c r="K1296" i="1"/>
  <c r="L1296" i="1"/>
  <c r="M1296" i="1"/>
  <c r="A1297" i="1"/>
  <c r="B1297" i="1"/>
  <c r="C1297" i="1"/>
  <c r="D1297" i="1"/>
  <c r="E1297" i="1"/>
  <c r="F1297" i="1"/>
  <c r="G1297" i="1"/>
  <c r="H1297" i="1"/>
  <c r="I1297" i="1"/>
  <c r="J1297" i="1"/>
  <c r="K1297" i="1"/>
  <c r="L1297" i="1"/>
  <c r="M1297" i="1"/>
  <c r="A1298" i="1"/>
  <c r="B1298" i="1"/>
  <c r="C1298" i="1"/>
  <c r="D1298" i="1"/>
  <c r="E1298" i="1"/>
  <c r="F1298" i="1"/>
  <c r="G1298" i="1"/>
  <c r="H1298" i="1"/>
  <c r="I1298" i="1"/>
  <c r="J1298" i="1"/>
  <c r="K1298" i="1"/>
  <c r="L1298" i="1"/>
  <c r="M1298" i="1"/>
  <c r="A1299" i="1"/>
  <c r="B1299" i="1"/>
  <c r="C1299" i="1"/>
  <c r="D1299" i="1"/>
  <c r="E1299" i="1"/>
  <c r="F1299" i="1"/>
  <c r="G1299" i="1"/>
  <c r="H1299" i="1"/>
  <c r="I1299" i="1"/>
  <c r="J1299" i="1"/>
  <c r="K1299" i="1"/>
  <c r="L1299" i="1"/>
  <c r="M1299" i="1"/>
  <c r="A1300" i="1"/>
  <c r="B1300" i="1"/>
  <c r="C1300" i="1"/>
  <c r="D1300" i="1"/>
  <c r="E1300" i="1"/>
  <c r="F1300" i="1"/>
  <c r="G1300" i="1"/>
  <c r="H1300" i="1"/>
  <c r="I1300" i="1"/>
  <c r="J1300" i="1"/>
  <c r="K1300" i="1"/>
  <c r="L1300" i="1"/>
  <c r="M1300" i="1"/>
  <c r="A1301" i="1"/>
  <c r="B1301" i="1"/>
  <c r="C1301" i="1"/>
  <c r="D1301" i="1"/>
  <c r="E1301" i="1"/>
  <c r="F1301" i="1"/>
  <c r="G1301" i="1"/>
  <c r="H1301" i="1"/>
  <c r="I1301" i="1"/>
  <c r="J1301" i="1"/>
  <c r="K1301" i="1"/>
  <c r="L1301" i="1"/>
  <c r="M1301" i="1"/>
  <c r="A1302" i="1"/>
  <c r="B1302" i="1"/>
  <c r="C1302" i="1"/>
  <c r="D1302" i="1"/>
  <c r="E1302" i="1"/>
  <c r="F1302" i="1"/>
  <c r="G1302" i="1"/>
  <c r="H1302" i="1"/>
  <c r="I1302" i="1"/>
  <c r="J1302" i="1"/>
  <c r="K1302" i="1"/>
  <c r="L1302" i="1"/>
  <c r="M1302" i="1"/>
  <c r="A1303" i="1"/>
  <c r="B1303" i="1"/>
  <c r="C1303" i="1"/>
  <c r="D1303" i="1"/>
  <c r="E1303" i="1"/>
  <c r="F1303" i="1"/>
  <c r="G1303" i="1"/>
  <c r="H1303" i="1"/>
  <c r="I1303" i="1"/>
  <c r="J1303" i="1"/>
  <c r="K1303" i="1"/>
  <c r="L1303" i="1"/>
  <c r="M1303" i="1"/>
  <c r="A1304" i="1"/>
  <c r="B1304" i="1"/>
  <c r="C1304" i="1"/>
  <c r="D1304" i="1"/>
  <c r="E1304" i="1"/>
  <c r="F1304" i="1"/>
  <c r="G1304" i="1"/>
  <c r="H1304" i="1"/>
  <c r="I1304" i="1"/>
  <c r="J1304" i="1"/>
  <c r="K1304" i="1"/>
  <c r="L1304" i="1"/>
  <c r="M1304" i="1"/>
  <c r="A1305" i="1"/>
  <c r="B1305" i="1"/>
  <c r="C1305" i="1"/>
  <c r="D1305" i="1"/>
  <c r="E1305" i="1"/>
  <c r="F1305" i="1"/>
  <c r="G1305" i="1"/>
  <c r="H1305" i="1"/>
  <c r="I1305" i="1"/>
  <c r="J1305" i="1"/>
  <c r="K1305" i="1"/>
  <c r="L1305" i="1"/>
  <c r="M1305" i="1"/>
  <c r="A1306" i="1"/>
  <c r="B1306" i="1"/>
  <c r="C1306" i="1"/>
  <c r="D1306" i="1"/>
  <c r="E1306" i="1"/>
  <c r="F1306" i="1"/>
  <c r="G1306" i="1"/>
  <c r="H1306" i="1"/>
  <c r="I1306" i="1"/>
  <c r="J1306" i="1"/>
  <c r="K1306" i="1"/>
  <c r="L1306" i="1"/>
  <c r="M1306" i="1"/>
  <c r="A1307" i="1"/>
  <c r="B1307" i="1"/>
  <c r="C1307" i="1"/>
  <c r="D1307" i="1"/>
  <c r="E1307" i="1"/>
  <c r="F1307" i="1"/>
  <c r="G1307" i="1"/>
  <c r="H1307" i="1"/>
  <c r="I1307" i="1"/>
  <c r="J1307" i="1"/>
  <c r="K1307" i="1"/>
  <c r="L1307" i="1"/>
  <c r="M1307" i="1"/>
  <c r="A1308" i="1"/>
  <c r="B1308" i="1"/>
  <c r="C1308" i="1"/>
  <c r="D1308" i="1"/>
  <c r="E1308" i="1"/>
  <c r="F1308" i="1"/>
  <c r="G1308" i="1"/>
  <c r="H1308" i="1"/>
  <c r="I1308" i="1"/>
  <c r="J1308" i="1"/>
  <c r="K1308" i="1"/>
  <c r="L1308" i="1"/>
  <c r="M1308" i="1"/>
  <c r="A1309" i="1"/>
  <c r="B1309" i="1"/>
  <c r="C1309" i="1"/>
  <c r="D1309" i="1"/>
  <c r="E1309" i="1"/>
  <c r="F1309" i="1"/>
  <c r="G1309" i="1"/>
  <c r="H1309" i="1"/>
  <c r="I1309" i="1"/>
  <c r="J1309" i="1"/>
  <c r="K1309" i="1"/>
  <c r="L1309" i="1"/>
  <c r="M1309" i="1"/>
  <c r="A1310" i="1"/>
  <c r="B1310" i="1"/>
  <c r="C1310" i="1"/>
  <c r="D1310" i="1"/>
  <c r="E1310" i="1"/>
  <c r="F1310" i="1"/>
  <c r="G1310" i="1"/>
  <c r="H1310" i="1"/>
  <c r="I1310" i="1"/>
  <c r="J1310" i="1"/>
  <c r="K1310" i="1"/>
  <c r="L1310" i="1"/>
  <c r="M1310" i="1"/>
  <c r="A1311" i="1"/>
  <c r="B1311" i="1"/>
  <c r="C1311" i="1"/>
  <c r="D1311" i="1"/>
  <c r="E1311" i="1"/>
  <c r="F1311" i="1"/>
  <c r="G1311" i="1"/>
  <c r="H1311" i="1"/>
  <c r="I1311" i="1"/>
  <c r="J1311" i="1"/>
  <c r="K1311" i="1"/>
  <c r="L1311" i="1"/>
  <c r="M1311" i="1"/>
  <c r="A1312" i="1"/>
  <c r="B1312" i="1"/>
  <c r="C1312" i="1"/>
  <c r="D1312" i="1"/>
  <c r="E1312" i="1"/>
  <c r="F1312" i="1"/>
  <c r="G1312" i="1"/>
  <c r="H1312" i="1"/>
  <c r="I1312" i="1"/>
  <c r="J1312" i="1"/>
  <c r="K1312" i="1"/>
  <c r="L1312" i="1"/>
  <c r="M1312" i="1"/>
  <c r="A1313" i="1"/>
  <c r="B1313" i="1"/>
  <c r="C1313" i="1"/>
  <c r="D1313" i="1"/>
  <c r="E1313" i="1"/>
  <c r="F1313" i="1"/>
  <c r="G1313" i="1"/>
  <c r="H1313" i="1"/>
  <c r="I1313" i="1"/>
  <c r="J1313" i="1"/>
  <c r="K1313" i="1"/>
  <c r="L1313" i="1"/>
  <c r="M1313" i="1"/>
  <c r="A1314" i="1"/>
  <c r="B1314" i="1"/>
  <c r="C1314" i="1"/>
  <c r="D1314" i="1"/>
  <c r="E1314" i="1"/>
  <c r="F1314" i="1"/>
  <c r="G1314" i="1"/>
  <c r="H1314" i="1"/>
  <c r="I1314" i="1"/>
  <c r="J1314" i="1"/>
  <c r="K1314" i="1"/>
  <c r="L1314" i="1"/>
  <c r="M1314" i="1"/>
  <c r="A1315" i="1"/>
  <c r="B1315" i="1"/>
  <c r="C1315" i="1"/>
  <c r="D1315" i="1"/>
  <c r="E1315" i="1"/>
  <c r="F1315" i="1"/>
  <c r="G1315" i="1"/>
  <c r="H1315" i="1"/>
  <c r="I1315" i="1"/>
  <c r="J1315" i="1"/>
  <c r="K1315" i="1"/>
  <c r="L1315" i="1"/>
  <c r="M1315" i="1"/>
  <c r="A1316" i="1"/>
  <c r="B1316" i="1"/>
  <c r="C1316" i="1"/>
  <c r="D1316" i="1"/>
  <c r="E1316" i="1"/>
  <c r="F1316" i="1"/>
  <c r="G1316" i="1"/>
  <c r="H1316" i="1"/>
  <c r="I1316" i="1"/>
  <c r="J1316" i="1"/>
  <c r="K1316" i="1"/>
  <c r="L1316" i="1"/>
  <c r="M1316" i="1"/>
  <c r="A1317" i="1"/>
  <c r="B1317" i="1"/>
  <c r="C1317" i="1"/>
  <c r="D1317" i="1"/>
  <c r="E1317" i="1"/>
  <c r="F1317" i="1"/>
  <c r="G1317" i="1"/>
  <c r="H1317" i="1"/>
  <c r="I1317" i="1"/>
  <c r="J1317" i="1"/>
  <c r="K1317" i="1"/>
  <c r="L1317" i="1"/>
  <c r="M1317" i="1"/>
  <c r="A1318" i="1"/>
  <c r="B1318" i="1"/>
  <c r="C1318" i="1"/>
  <c r="D1318" i="1"/>
  <c r="E1318" i="1"/>
  <c r="F1318" i="1"/>
  <c r="G1318" i="1"/>
  <c r="H1318" i="1"/>
  <c r="I1318" i="1"/>
  <c r="J1318" i="1"/>
  <c r="K1318" i="1"/>
  <c r="L1318" i="1"/>
  <c r="M1318" i="1"/>
  <c r="A1319" i="1"/>
  <c r="B1319" i="1"/>
  <c r="C1319" i="1"/>
  <c r="D1319" i="1"/>
  <c r="E1319" i="1"/>
  <c r="F1319" i="1"/>
  <c r="G1319" i="1"/>
  <c r="H1319" i="1"/>
  <c r="I1319" i="1"/>
  <c r="J1319" i="1"/>
  <c r="K1319" i="1"/>
  <c r="L1319" i="1"/>
  <c r="M1319" i="1"/>
  <c r="A1320" i="1"/>
  <c r="B1320" i="1"/>
  <c r="C1320" i="1"/>
  <c r="D1320" i="1"/>
  <c r="E1320" i="1"/>
  <c r="F1320" i="1"/>
  <c r="G1320" i="1"/>
  <c r="H1320" i="1"/>
  <c r="I1320" i="1"/>
  <c r="J1320" i="1"/>
  <c r="K1320" i="1"/>
  <c r="L1320" i="1"/>
  <c r="M1320" i="1"/>
  <c r="A1321" i="1"/>
  <c r="B1321" i="1"/>
  <c r="C1321" i="1"/>
  <c r="D1321" i="1"/>
  <c r="E1321" i="1"/>
  <c r="F1321" i="1"/>
  <c r="G1321" i="1"/>
  <c r="H1321" i="1"/>
  <c r="I1321" i="1"/>
  <c r="J1321" i="1"/>
  <c r="K1321" i="1"/>
  <c r="L1321" i="1"/>
  <c r="M1321" i="1"/>
  <c r="A1322" i="1"/>
  <c r="B1322" i="1"/>
  <c r="C1322" i="1"/>
  <c r="D1322" i="1"/>
  <c r="E1322" i="1"/>
  <c r="F1322" i="1"/>
  <c r="G1322" i="1"/>
  <c r="H1322" i="1"/>
  <c r="I1322" i="1"/>
  <c r="J1322" i="1"/>
  <c r="K1322" i="1"/>
  <c r="L1322" i="1"/>
  <c r="M1322" i="1"/>
  <c r="A1323" i="1"/>
  <c r="B1323" i="1"/>
  <c r="C1323" i="1"/>
  <c r="D1323" i="1"/>
  <c r="E1323" i="1"/>
  <c r="F1323" i="1"/>
  <c r="G1323" i="1"/>
  <c r="H1323" i="1"/>
  <c r="I1323" i="1"/>
  <c r="J1323" i="1"/>
  <c r="K1323" i="1"/>
  <c r="L1323" i="1"/>
  <c r="M1323" i="1"/>
  <c r="A1324" i="1"/>
  <c r="B1324" i="1"/>
  <c r="C1324" i="1"/>
  <c r="D1324" i="1"/>
  <c r="E1324" i="1"/>
  <c r="F1324" i="1"/>
  <c r="G1324" i="1"/>
  <c r="H1324" i="1"/>
  <c r="I1324" i="1"/>
  <c r="J1324" i="1"/>
  <c r="K1324" i="1"/>
  <c r="L1324" i="1"/>
  <c r="M1324" i="1"/>
  <c r="A1325" i="1"/>
  <c r="B1325" i="1"/>
  <c r="C1325" i="1"/>
  <c r="D1325" i="1"/>
  <c r="E1325" i="1"/>
  <c r="F1325" i="1"/>
  <c r="G1325" i="1"/>
  <c r="H1325" i="1"/>
  <c r="I1325" i="1"/>
  <c r="J1325" i="1"/>
  <c r="K1325" i="1"/>
  <c r="L1325" i="1"/>
  <c r="M1325" i="1"/>
  <c r="A1326" i="1"/>
  <c r="B1326" i="1"/>
  <c r="C1326" i="1"/>
  <c r="D1326" i="1"/>
  <c r="E1326" i="1"/>
  <c r="F1326" i="1"/>
  <c r="G1326" i="1"/>
  <c r="H1326" i="1"/>
  <c r="I1326" i="1"/>
  <c r="J1326" i="1"/>
  <c r="K1326" i="1"/>
  <c r="L1326" i="1"/>
  <c r="M1326" i="1"/>
  <c r="A1327" i="1"/>
  <c r="B1327" i="1"/>
  <c r="C1327" i="1"/>
  <c r="D1327" i="1"/>
  <c r="E1327" i="1"/>
  <c r="F1327" i="1"/>
  <c r="G1327" i="1"/>
  <c r="H1327" i="1"/>
  <c r="I1327" i="1"/>
  <c r="J1327" i="1"/>
  <c r="K1327" i="1"/>
  <c r="L1327" i="1"/>
  <c r="M1327" i="1"/>
  <c r="A1328" i="1"/>
  <c r="B1328" i="1"/>
  <c r="C1328" i="1"/>
  <c r="D1328" i="1"/>
  <c r="E1328" i="1"/>
  <c r="F1328" i="1"/>
  <c r="G1328" i="1"/>
  <c r="H1328" i="1"/>
  <c r="I1328" i="1"/>
  <c r="J1328" i="1"/>
  <c r="K1328" i="1"/>
  <c r="L1328" i="1"/>
  <c r="M1328" i="1"/>
  <c r="A1329" i="1"/>
  <c r="B1329" i="1"/>
  <c r="C1329" i="1"/>
  <c r="D1329" i="1"/>
  <c r="E1329" i="1"/>
  <c r="F1329" i="1"/>
  <c r="G1329" i="1"/>
  <c r="H1329" i="1"/>
  <c r="I1329" i="1"/>
  <c r="J1329" i="1"/>
  <c r="K1329" i="1"/>
  <c r="L1329" i="1"/>
  <c r="M1329" i="1"/>
  <c r="A1330" i="1"/>
  <c r="B1330" i="1"/>
  <c r="C1330" i="1"/>
  <c r="D1330" i="1"/>
  <c r="E1330" i="1"/>
  <c r="F1330" i="1"/>
  <c r="G1330" i="1"/>
  <c r="H1330" i="1"/>
  <c r="I1330" i="1"/>
  <c r="J1330" i="1"/>
  <c r="K1330" i="1"/>
  <c r="L1330" i="1"/>
  <c r="M1330" i="1"/>
  <c r="A1331" i="1"/>
  <c r="B1331" i="1"/>
  <c r="C1331" i="1"/>
  <c r="D1331" i="1"/>
  <c r="E1331" i="1"/>
  <c r="F1331" i="1"/>
  <c r="G1331" i="1"/>
  <c r="H1331" i="1"/>
  <c r="I1331" i="1"/>
  <c r="J1331" i="1"/>
  <c r="K1331" i="1"/>
  <c r="L1331" i="1"/>
  <c r="M1331" i="1"/>
  <c r="A1332" i="1"/>
  <c r="B1332" i="1"/>
  <c r="C1332" i="1"/>
  <c r="D1332" i="1"/>
  <c r="E1332" i="1"/>
  <c r="F1332" i="1"/>
  <c r="G1332" i="1"/>
  <c r="H1332" i="1"/>
  <c r="I1332" i="1"/>
  <c r="J1332" i="1"/>
  <c r="K1332" i="1"/>
  <c r="L1332" i="1"/>
  <c r="M1332" i="1"/>
  <c r="A1333" i="1"/>
  <c r="B1333" i="1"/>
  <c r="C1333" i="1"/>
  <c r="D1333" i="1"/>
  <c r="E1333" i="1"/>
  <c r="F1333" i="1"/>
  <c r="G1333" i="1"/>
  <c r="H1333" i="1"/>
  <c r="I1333" i="1"/>
  <c r="J1333" i="1"/>
  <c r="K1333" i="1"/>
  <c r="L1333" i="1"/>
  <c r="M1333" i="1"/>
  <c r="A1334" i="1"/>
  <c r="B1334" i="1"/>
  <c r="C1334" i="1"/>
  <c r="D1334" i="1"/>
  <c r="E1334" i="1"/>
  <c r="F1334" i="1"/>
  <c r="G1334" i="1"/>
  <c r="H1334" i="1"/>
  <c r="I1334" i="1"/>
  <c r="J1334" i="1"/>
  <c r="K1334" i="1"/>
  <c r="L1334" i="1"/>
  <c r="M1334" i="1"/>
  <c r="A1335" i="1"/>
  <c r="B1335" i="1"/>
  <c r="C1335" i="1"/>
  <c r="D1335" i="1"/>
  <c r="E1335" i="1"/>
  <c r="F1335" i="1"/>
  <c r="G1335" i="1"/>
  <c r="H1335" i="1"/>
  <c r="I1335" i="1"/>
  <c r="J1335" i="1"/>
  <c r="K1335" i="1"/>
  <c r="L1335" i="1"/>
  <c r="M1335" i="1"/>
  <c r="A1336" i="1"/>
  <c r="B1336" i="1"/>
  <c r="C1336" i="1"/>
  <c r="D1336" i="1"/>
  <c r="E1336" i="1"/>
  <c r="F1336" i="1"/>
  <c r="G1336" i="1"/>
  <c r="H1336" i="1"/>
  <c r="I1336" i="1"/>
  <c r="J1336" i="1"/>
  <c r="K1336" i="1"/>
  <c r="L1336" i="1"/>
  <c r="M1336" i="1"/>
  <c r="A1337" i="1"/>
  <c r="B1337" i="1"/>
  <c r="C1337" i="1"/>
  <c r="D1337" i="1"/>
  <c r="E1337" i="1"/>
  <c r="F1337" i="1"/>
  <c r="G1337" i="1"/>
  <c r="H1337" i="1"/>
  <c r="I1337" i="1"/>
  <c r="J1337" i="1"/>
  <c r="K1337" i="1"/>
  <c r="L1337" i="1"/>
  <c r="M1337" i="1"/>
  <c r="A1338" i="1"/>
  <c r="B1338" i="1"/>
  <c r="C1338" i="1"/>
  <c r="D1338" i="1"/>
  <c r="E1338" i="1"/>
  <c r="F1338" i="1"/>
  <c r="G1338" i="1"/>
  <c r="H1338" i="1"/>
  <c r="I1338" i="1"/>
  <c r="J1338" i="1"/>
  <c r="K1338" i="1"/>
  <c r="L1338" i="1"/>
  <c r="M1338" i="1"/>
  <c r="A1339" i="1"/>
  <c r="B1339" i="1"/>
  <c r="C1339" i="1"/>
  <c r="D1339" i="1"/>
  <c r="E1339" i="1"/>
  <c r="F1339" i="1"/>
  <c r="G1339" i="1"/>
  <c r="H1339" i="1"/>
  <c r="I1339" i="1"/>
  <c r="J1339" i="1"/>
  <c r="K1339" i="1"/>
  <c r="L1339" i="1"/>
  <c r="M1339" i="1"/>
  <c r="A1340" i="1"/>
  <c r="B1340" i="1"/>
  <c r="C1340" i="1"/>
  <c r="D1340" i="1"/>
  <c r="E1340" i="1"/>
  <c r="F1340" i="1"/>
  <c r="G1340" i="1"/>
  <c r="H1340" i="1"/>
  <c r="I1340" i="1"/>
  <c r="J1340" i="1"/>
  <c r="K1340" i="1"/>
  <c r="L1340" i="1"/>
  <c r="M1340" i="1"/>
  <c r="A1341" i="1"/>
  <c r="B1341" i="1"/>
  <c r="C1341" i="1"/>
  <c r="D1341" i="1"/>
  <c r="E1341" i="1"/>
  <c r="F1341" i="1"/>
  <c r="G1341" i="1"/>
  <c r="H1341" i="1"/>
  <c r="I1341" i="1"/>
  <c r="J1341" i="1"/>
  <c r="K1341" i="1"/>
  <c r="L1341" i="1"/>
  <c r="M1341" i="1"/>
  <c r="A1342" i="1"/>
  <c r="B1342" i="1"/>
  <c r="C1342" i="1"/>
  <c r="D1342" i="1"/>
  <c r="E1342" i="1"/>
  <c r="F1342" i="1"/>
  <c r="G1342" i="1"/>
  <c r="H1342" i="1"/>
  <c r="I1342" i="1"/>
  <c r="J1342" i="1"/>
  <c r="K1342" i="1"/>
  <c r="L1342" i="1"/>
  <c r="M1342" i="1"/>
  <c r="A1343" i="1"/>
  <c r="B1343" i="1"/>
  <c r="C1343" i="1"/>
  <c r="D1343" i="1"/>
  <c r="E1343" i="1"/>
  <c r="F1343" i="1"/>
  <c r="G1343" i="1"/>
  <c r="H1343" i="1"/>
  <c r="I1343" i="1"/>
  <c r="J1343" i="1"/>
  <c r="K1343" i="1"/>
  <c r="L1343" i="1"/>
  <c r="M1343" i="1"/>
  <c r="A1344" i="1"/>
  <c r="B1344" i="1"/>
  <c r="C1344" i="1"/>
  <c r="D1344" i="1"/>
  <c r="E1344" i="1"/>
  <c r="F1344" i="1"/>
  <c r="G1344" i="1"/>
  <c r="H1344" i="1"/>
  <c r="I1344" i="1"/>
  <c r="J1344" i="1"/>
  <c r="K1344" i="1"/>
  <c r="L1344" i="1"/>
  <c r="M1344" i="1"/>
  <c r="A1345" i="1"/>
  <c r="B1345" i="1"/>
  <c r="C1345" i="1"/>
  <c r="D1345" i="1"/>
  <c r="E1345" i="1"/>
  <c r="F1345" i="1"/>
  <c r="G1345" i="1"/>
  <c r="H1345" i="1"/>
  <c r="I1345" i="1"/>
  <c r="J1345" i="1"/>
  <c r="K1345" i="1"/>
  <c r="L1345" i="1"/>
  <c r="M1345" i="1"/>
  <c r="A1346" i="1"/>
  <c r="B1346" i="1"/>
  <c r="C1346" i="1"/>
  <c r="D1346" i="1"/>
  <c r="E1346" i="1"/>
  <c r="F1346" i="1"/>
  <c r="G1346" i="1"/>
  <c r="H1346" i="1"/>
  <c r="I1346" i="1"/>
  <c r="J1346" i="1"/>
  <c r="K1346" i="1"/>
  <c r="L1346" i="1"/>
  <c r="M1346" i="1"/>
  <c r="A1347" i="1"/>
  <c r="B1347" i="1"/>
  <c r="C1347" i="1"/>
  <c r="D1347" i="1"/>
  <c r="E1347" i="1"/>
  <c r="F1347" i="1"/>
  <c r="G1347" i="1"/>
  <c r="H1347" i="1"/>
  <c r="I1347" i="1"/>
  <c r="J1347" i="1"/>
  <c r="K1347" i="1"/>
  <c r="L1347" i="1"/>
  <c r="M1347" i="1"/>
  <c r="A1348" i="1"/>
  <c r="B1348" i="1"/>
  <c r="C1348" i="1"/>
  <c r="D1348" i="1"/>
  <c r="E1348" i="1"/>
  <c r="F1348" i="1"/>
  <c r="G1348" i="1"/>
  <c r="H1348" i="1"/>
  <c r="I1348" i="1"/>
  <c r="J1348" i="1"/>
  <c r="K1348" i="1"/>
  <c r="L1348" i="1"/>
  <c r="M1348" i="1"/>
  <c r="A1349" i="1"/>
  <c r="B1349" i="1"/>
  <c r="C1349" i="1"/>
  <c r="D1349" i="1"/>
  <c r="E1349" i="1"/>
  <c r="F1349" i="1"/>
  <c r="G1349" i="1"/>
  <c r="H1349" i="1"/>
  <c r="I1349" i="1"/>
  <c r="J1349" i="1"/>
  <c r="K1349" i="1"/>
  <c r="L1349" i="1"/>
  <c r="M1349" i="1"/>
  <c r="A1350" i="1"/>
  <c r="B1350" i="1"/>
  <c r="C1350" i="1"/>
  <c r="D1350" i="1"/>
  <c r="E1350" i="1"/>
  <c r="F1350" i="1"/>
  <c r="G1350" i="1"/>
  <c r="H1350" i="1"/>
  <c r="I1350" i="1"/>
  <c r="J1350" i="1"/>
  <c r="K1350" i="1"/>
  <c r="L1350" i="1"/>
  <c r="M1350" i="1"/>
  <c r="A1351" i="1"/>
  <c r="B1351" i="1"/>
  <c r="C1351" i="1"/>
  <c r="D1351" i="1"/>
  <c r="E1351" i="1"/>
  <c r="F1351" i="1"/>
  <c r="G1351" i="1"/>
  <c r="H1351" i="1"/>
  <c r="I1351" i="1"/>
  <c r="J1351" i="1"/>
  <c r="K1351" i="1"/>
  <c r="L1351" i="1"/>
  <c r="M1351" i="1"/>
  <c r="A1352" i="1"/>
  <c r="B1352" i="1"/>
  <c r="C1352" i="1"/>
  <c r="D1352" i="1"/>
  <c r="E1352" i="1"/>
  <c r="F1352" i="1"/>
  <c r="G1352" i="1"/>
  <c r="H1352" i="1"/>
  <c r="I1352" i="1"/>
  <c r="J1352" i="1"/>
  <c r="K1352" i="1"/>
  <c r="L1352" i="1"/>
  <c r="M1352" i="1"/>
  <c r="A1353" i="1"/>
  <c r="B1353" i="1"/>
  <c r="C1353" i="1"/>
  <c r="D1353" i="1"/>
  <c r="E1353" i="1"/>
  <c r="F1353" i="1"/>
  <c r="G1353" i="1"/>
  <c r="H1353" i="1"/>
  <c r="I1353" i="1"/>
  <c r="J1353" i="1"/>
  <c r="K1353" i="1"/>
  <c r="L1353" i="1"/>
  <c r="M1353" i="1"/>
  <c r="A1354" i="1"/>
  <c r="B1354" i="1"/>
  <c r="C1354" i="1"/>
  <c r="D1354" i="1"/>
  <c r="E1354" i="1"/>
  <c r="F1354" i="1"/>
  <c r="G1354" i="1"/>
  <c r="H1354" i="1"/>
  <c r="I1354" i="1"/>
  <c r="J1354" i="1"/>
  <c r="K1354" i="1"/>
  <c r="L1354" i="1"/>
  <c r="M1354" i="1"/>
  <c r="A1355" i="1"/>
  <c r="B1355" i="1"/>
  <c r="C1355" i="1"/>
  <c r="D1355" i="1"/>
  <c r="E1355" i="1"/>
  <c r="F1355" i="1"/>
  <c r="G1355" i="1"/>
  <c r="H1355" i="1"/>
  <c r="I1355" i="1"/>
  <c r="J1355" i="1"/>
  <c r="K1355" i="1"/>
  <c r="L1355" i="1"/>
  <c r="M1355" i="1"/>
  <c r="A1356" i="1"/>
  <c r="B1356" i="1"/>
  <c r="C1356" i="1"/>
  <c r="D1356" i="1"/>
  <c r="E1356" i="1"/>
  <c r="F1356" i="1"/>
  <c r="G1356" i="1"/>
  <c r="H1356" i="1"/>
  <c r="I1356" i="1"/>
  <c r="J1356" i="1"/>
  <c r="K1356" i="1"/>
  <c r="L1356" i="1"/>
  <c r="M1356" i="1"/>
  <c r="A1357" i="1"/>
  <c r="B1357" i="1"/>
  <c r="C1357" i="1"/>
  <c r="D1357" i="1"/>
  <c r="E1357" i="1"/>
  <c r="F1357" i="1"/>
  <c r="G1357" i="1"/>
  <c r="H1357" i="1"/>
  <c r="I1357" i="1"/>
  <c r="J1357" i="1"/>
  <c r="K1357" i="1"/>
  <c r="L1357" i="1"/>
  <c r="M1357" i="1"/>
  <c r="A1358" i="1"/>
  <c r="B1358" i="1"/>
  <c r="C1358" i="1"/>
  <c r="D1358" i="1"/>
  <c r="E1358" i="1"/>
  <c r="F1358" i="1"/>
  <c r="G1358" i="1"/>
  <c r="H1358" i="1"/>
  <c r="I1358" i="1"/>
  <c r="J1358" i="1"/>
  <c r="K1358" i="1"/>
  <c r="L1358" i="1"/>
  <c r="M1358" i="1"/>
  <c r="A1359" i="1"/>
  <c r="B1359" i="1"/>
  <c r="C1359" i="1"/>
  <c r="D1359" i="1"/>
  <c r="E1359" i="1"/>
  <c r="F1359" i="1"/>
  <c r="G1359" i="1"/>
  <c r="H1359" i="1"/>
  <c r="I1359" i="1"/>
  <c r="J1359" i="1"/>
  <c r="K1359" i="1"/>
  <c r="L1359" i="1"/>
  <c r="M1359" i="1"/>
  <c r="A1360" i="1"/>
  <c r="B1360" i="1"/>
  <c r="C1360" i="1"/>
  <c r="D1360" i="1"/>
  <c r="E1360" i="1"/>
  <c r="F1360" i="1"/>
  <c r="G1360" i="1"/>
  <c r="H1360" i="1"/>
  <c r="I1360" i="1"/>
  <c r="J1360" i="1"/>
  <c r="K1360" i="1"/>
  <c r="L1360" i="1"/>
  <c r="M1360" i="1"/>
  <c r="A1361" i="1"/>
  <c r="B1361" i="1"/>
  <c r="C1361" i="1"/>
  <c r="D1361" i="1"/>
  <c r="E1361" i="1"/>
  <c r="F1361" i="1"/>
  <c r="G1361" i="1"/>
  <c r="H1361" i="1"/>
  <c r="I1361" i="1"/>
  <c r="J1361" i="1"/>
  <c r="K1361" i="1"/>
  <c r="L1361" i="1"/>
  <c r="M1361" i="1"/>
  <c r="A1362" i="1"/>
  <c r="B1362" i="1"/>
  <c r="C1362" i="1"/>
  <c r="D1362" i="1"/>
  <c r="E1362" i="1"/>
  <c r="F1362" i="1"/>
  <c r="G1362" i="1"/>
  <c r="H1362" i="1"/>
  <c r="I1362" i="1"/>
  <c r="J1362" i="1"/>
  <c r="K1362" i="1"/>
  <c r="L1362" i="1"/>
  <c r="M1362" i="1"/>
  <c r="A1363" i="1"/>
  <c r="B1363" i="1"/>
  <c r="C1363" i="1"/>
  <c r="D1363" i="1"/>
  <c r="E1363" i="1"/>
  <c r="F1363" i="1"/>
  <c r="G1363" i="1"/>
  <c r="H1363" i="1"/>
  <c r="I1363" i="1"/>
  <c r="J1363" i="1"/>
  <c r="K1363" i="1"/>
  <c r="L1363" i="1"/>
  <c r="M1363" i="1"/>
  <c r="A1364" i="1"/>
  <c r="B1364" i="1"/>
  <c r="C1364" i="1"/>
  <c r="D1364" i="1"/>
  <c r="E1364" i="1"/>
  <c r="F1364" i="1"/>
  <c r="G1364" i="1"/>
  <c r="H1364" i="1"/>
  <c r="I1364" i="1"/>
  <c r="J1364" i="1"/>
  <c r="K1364" i="1"/>
  <c r="L1364" i="1"/>
  <c r="M1364" i="1"/>
  <c r="A1365" i="1"/>
  <c r="B1365" i="1"/>
  <c r="C1365" i="1"/>
  <c r="D1365" i="1"/>
  <c r="E1365" i="1"/>
  <c r="F1365" i="1"/>
  <c r="G1365" i="1"/>
  <c r="H1365" i="1"/>
  <c r="I1365" i="1"/>
  <c r="J1365" i="1"/>
  <c r="K1365" i="1"/>
  <c r="L1365" i="1"/>
  <c r="M1365" i="1"/>
  <c r="A1366" i="1"/>
  <c r="B1366" i="1"/>
  <c r="C1366" i="1"/>
  <c r="D1366" i="1"/>
  <c r="E1366" i="1"/>
  <c r="F1366" i="1"/>
  <c r="G1366" i="1"/>
  <c r="H1366" i="1"/>
  <c r="I1366" i="1"/>
  <c r="J1366" i="1"/>
  <c r="K1366" i="1"/>
  <c r="L1366" i="1"/>
  <c r="M1366" i="1"/>
  <c r="A1367" i="1"/>
  <c r="B1367" i="1"/>
  <c r="C1367" i="1"/>
  <c r="D1367" i="1"/>
  <c r="E1367" i="1"/>
  <c r="F1367" i="1"/>
  <c r="G1367" i="1"/>
  <c r="H1367" i="1"/>
  <c r="I1367" i="1"/>
  <c r="J1367" i="1"/>
  <c r="K1367" i="1"/>
  <c r="L1367" i="1"/>
  <c r="M1367" i="1"/>
  <c r="A1368" i="1"/>
  <c r="B1368" i="1"/>
  <c r="C1368" i="1"/>
  <c r="D1368" i="1"/>
  <c r="E1368" i="1"/>
  <c r="F1368" i="1"/>
  <c r="G1368" i="1"/>
  <c r="H1368" i="1"/>
  <c r="I1368" i="1"/>
  <c r="J1368" i="1"/>
  <c r="K1368" i="1"/>
  <c r="L1368" i="1"/>
  <c r="M1368" i="1"/>
  <c r="A1369" i="1"/>
  <c r="B1369" i="1"/>
  <c r="C1369" i="1"/>
  <c r="D1369" i="1"/>
  <c r="E1369" i="1"/>
  <c r="F1369" i="1"/>
  <c r="G1369" i="1"/>
  <c r="H1369" i="1"/>
  <c r="I1369" i="1"/>
  <c r="J1369" i="1"/>
  <c r="K1369" i="1"/>
  <c r="L1369" i="1"/>
  <c r="M1369" i="1"/>
  <c r="A1370" i="1"/>
  <c r="B1370" i="1"/>
  <c r="C1370" i="1"/>
  <c r="D1370" i="1"/>
  <c r="E1370" i="1"/>
  <c r="F1370" i="1"/>
  <c r="G1370" i="1"/>
  <c r="H1370" i="1"/>
  <c r="I1370" i="1"/>
  <c r="J1370" i="1"/>
  <c r="K1370" i="1"/>
  <c r="L1370" i="1"/>
  <c r="M1370" i="1"/>
  <c r="A1371" i="1"/>
  <c r="B1371" i="1"/>
  <c r="C1371" i="1"/>
  <c r="D1371" i="1"/>
  <c r="E1371" i="1"/>
  <c r="F1371" i="1"/>
  <c r="G1371" i="1"/>
  <c r="H1371" i="1"/>
  <c r="I1371" i="1"/>
  <c r="J1371" i="1"/>
  <c r="K1371" i="1"/>
  <c r="L1371" i="1"/>
  <c r="M1371" i="1"/>
  <c r="A1372" i="1"/>
  <c r="B1372" i="1"/>
  <c r="C1372" i="1"/>
  <c r="D1372" i="1"/>
  <c r="E1372" i="1"/>
  <c r="F1372" i="1"/>
  <c r="G1372" i="1"/>
  <c r="H1372" i="1"/>
  <c r="I1372" i="1"/>
  <c r="J1372" i="1"/>
  <c r="K1372" i="1"/>
  <c r="L1372" i="1"/>
  <c r="M1372" i="1"/>
  <c r="A1373" i="1"/>
  <c r="B1373" i="1"/>
  <c r="C1373" i="1"/>
  <c r="D1373" i="1"/>
  <c r="E1373" i="1"/>
  <c r="F1373" i="1"/>
  <c r="G1373" i="1"/>
  <c r="H1373" i="1"/>
  <c r="I1373" i="1"/>
  <c r="J1373" i="1"/>
  <c r="K1373" i="1"/>
  <c r="L1373" i="1"/>
  <c r="M1373" i="1"/>
  <c r="A1374" i="1"/>
  <c r="B1374" i="1"/>
  <c r="C1374" i="1"/>
  <c r="D1374" i="1"/>
  <c r="E1374" i="1"/>
  <c r="F1374" i="1"/>
  <c r="G1374" i="1"/>
  <c r="H1374" i="1"/>
  <c r="I1374" i="1"/>
  <c r="J1374" i="1"/>
  <c r="K1374" i="1"/>
  <c r="L1374" i="1"/>
  <c r="M1374" i="1"/>
  <c r="A1375" i="1"/>
  <c r="B1375" i="1"/>
  <c r="C1375" i="1"/>
  <c r="D1375" i="1"/>
  <c r="E1375" i="1"/>
  <c r="F1375" i="1"/>
  <c r="G1375" i="1"/>
  <c r="H1375" i="1"/>
  <c r="I1375" i="1"/>
  <c r="J1375" i="1"/>
  <c r="K1375" i="1"/>
  <c r="L1375" i="1"/>
  <c r="M1375" i="1"/>
  <c r="A1376" i="1"/>
  <c r="B1376" i="1"/>
  <c r="C1376" i="1"/>
  <c r="D1376" i="1"/>
  <c r="E1376" i="1"/>
  <c r="F1376" i="1"/>
  <c r="G1376" i="1"/>
  <c r="H1376" i="1"/>
  <c r="I1376" i="1"/>
  <c r="J1376" i="1"/>
  <c r="K1376" i="1"/>
  <c r="L1376" i="1"/>
  <c r="M1376" i="1"/>
  <c r="A1377" i="1"/>
  <c r="B1377" i="1"/>
  <c r="C1377" i="1"/>
  <c r="D1377" i="1"/>
  <c r="E1377" i="1"/>
  <c r="F1377" i="1"/>
  <c r="G1377" i="1"/>
  <c r="H1377" i="1"/>
  <c r="I1377" i="1"/>
  <c r="J1377" i="1"/>
  <c r="K1377" i="1"/>
  <c r="L1377" i="1"/>
  <c r="M1377" i="1"/>
  <c r="A1378" i="1"/>
  <c r="B1378" i="1"/>
  <c r="C1378" i="1"/>
  <c r="D1378" i="1"/>
  <c r="E1378" i="1"/>
  <c r="F1378" i="1"/>
  <c r="G1378" i="1"/>
  <c r="H1378" i="1"/>
  <c r="I1378" i="1"/>
  <c r="J1378" i="1"/>
  <c r="K1378" i="1"/>
  <c r="L1378" i="1"/>
  <c r="M1378" i="1"/>
  <c r="A1379" i="1"/>
  <c r="B1379" i="1"/>
  <c r="C1379" i="1"/>
  <c r="D1379" i="1"/>
  <c r="E1379" i="1"/>
  <c r="F1379" i="1"/>
  <c r="G1379" i="1"/>
  <c r="H1379" i="1"/>
  <c r="I1379" i="1"/>
  <c r="J1379" i="1"/>
  <c r="K1379" i="1"/>
  <c r="L1379" i="1"/>
  <c r="M1379" i="1"/>
  <c r="A1380" i="1"/>
  <c r="B1380" i="1"/>
  <c r="C1380" i="1"/>
  <c r="D1380" i="1"/>
  <c r="E1380" i="1"/>
  <c r="F1380" i="1"/>
  <c r="G1380" i="1"/>
  <c r="H1380" i="1"/>
  <c r="I1380" i="1"/>
  <c r="J1380" i="1"/>
  <c r="K1380" i="1"/>
  <c r="L1380" i="1"/>
  <c r="M1380" i="1"/>
  <c r="A1381" i="1"/>
  <c r="B1381" i="1"/>
  <c r="C1381" i="1"/>
  <c r="D1381" i="1"/>
  <c r="E1381" i="1"/>
  <c r="F1381" i="1"/>
  <c r="G1381" i="1"/>
  <c r="H1381" i="1"/>
  <c r="I1381" i="1"/>
  <c r="J1381" i="1"/>
  <c r="K1381" i="1"/>
  <c r="L1381" i="1"/>
  <c r="M1381" i="1"/>
  <c r="A1382" i="1"/>
  <c r="B1382" i="1"/>
  <c r="C1382" i="1"/>
  <c r="D1382" i="1"/>
  <c r="E1382" i="1"/>
  <c r="F1382" i="1"/>
  <c r="G1382" i="1"/>
  <c r="H1382" i="1"/>
  <c r="I1382" i="1"/>
  <c r="J1382" i="1"/>
  <c r="K1382" i="1"/>
  <c r="L1382" i="1"/>
  <c r="M1382" i="1"/>
  <c r="A1383" i="1"/>
  <c r="B1383" i="1"/>
  <c r="C1383" i="1"/>
  <c r="D1383" i="1"/>
  <c r="E1383" i="1"/>
  <c r="F1383" i="1"/>
  <c r="G1383" i="1"/>
  <c r="H1383" i="1"/>
  <c r="I1383" i="1"/>
  <c r="J1383" i="1"/>
  <c r="K1383" i="1"/>
  <c r="L1383" i="1"/>
  <c r="M1383" i="1"/>
  <c r="A1384" i="1"/>
  <c r="B1384" i="1"/>
  <c r="C1384" i="1"/>
  <c r="D1384" i="1"/>
  <c r="E1384" i="1"/>
  <c r="F1384" i="1"/>
  <c r="G1384" i="1"/>
  <c r="H1384" i="1"/>
  <c r="I1384" i="1"/>
  <c r="J1384" i="1"/>
  <c r="K1384" i="1"/>
  <c r="L1384" i="1"/>
  <c r="M1384" i="1"/>
  <c r="A1385" i="1"/>
  <c r="B1385" i="1"/>
  <c r="C1385" i="1"/>
  <c r="D1385" i="1"/>
  <c r="E1385" i="1"/>
  <c r="F1385" i="1"/>
  <c r="G1385" i="1"/>
  <c r="H1385" i="1"/>
  <c r="I1385" i="1"/>
  <c r="J1385" i="1"/>
  <c r="K1385" i="1"/>
  <c r="L1385" i="1"/>
  <c r="M1385" i="1"/>
  <c r="A1386" i="1"/>
  <c r="B1386" i="1"/>
  <c r="C1386" i="1"/>
  <c r="D1386" i="1"/>
  <c r="E1386" i="1"/>
  <c r="F1386" i="1"/>
  <c r="G1386" i="1"/>
  <c r="H1386" i="1"/>
  <c r="I1386" i="1"/>
  <c r="J1386" i="1"/>
  <c r="K1386" i="1"/>
  <c r="L1386" i="1"/>
  <c r="M1386" i="1"/>
  <c r="A1387" i="1"/>
  <c r="B1387" i="1"/>
  <c r="C1387" i="1"/>
  <c r="D1387" i="1"/>
  <c r="E1387" i="1"/>
  <c r="F1387" i="1"/>
  <c r="G1387" i="1"/>
  <c r="H1387" i="1"/>
  <c r="I1387" i="1"/>
  <c r="J1387" i="1"/>
  <c r="K1387" i="1"/>
  <c r="L1387" i="1"/>
  <c r="M1387" i="1"/>
  <c r="A1388" i="1"/>
  <c r="B1388" i="1"/>
  <c r="C1388" i="1"/>
  <c r="D1388" i="1"/>
  <c r="E1388" i="1"/>
  <c r="F1388" i="1"/>
  <c r="G1388" i="1"/>
  <c r="H1388" i="1"/>
  <c r="I1388" i="1"/>
  <c r="J1388" i="1"/>
  <c r="K1388" i="1"/>
  <c r="L1388" i="1"/>
  <c r="M1388" i="1"/>
  <c r="A1389" i="1"/>
  <c r="B1389" i="1"/>
  <c r="C1389" i="1"/>
  <c r="D1389" i="1"/>
  <c r="E1389" i="1"/>
  <c r="F1389" i="1"/>
  <c r="G1389" i="1"/>
  <c r="H1389" i="1"/>
  <c r="I1389" i="1"/>
  <c r="J1389" i="1"/>
  <c r="K1389" i="1"/>
  <c r="L1389" i="1"/>
  <c r="M1389" i="1"/>
  <c r="A1390" i="1"/>
  <c r="B1390" i="1"/>
  <c r="C1390" i="1"/>
  <c r="D1390" i="1"/>
  <c r="E1390" i="1"/>
  <c r="F1390" i="1"/>
  <c r="G1390" i="1"/>
  <c r="H1390" i="1"/>
  <c r="I1390" i="1"/>
  <c r="J1390" i="1"/>
  <c r="K1390" i="1"/>
  <c r="L1390" i="1"/>
  <c r="M1390" i="1"/>
  <c r="A1391" i="1"/>
  <c r="B1391" i="1"/>
  <c r="C1391" i="1"/>
  <c r="D1391" i="1"/>
  <c r="E1391" i="1"/>
  <c r="F1391" i="1"/>
  <c r="G1391" i="1"/>
  <c r="H1391" i="1"/>
  <c r="I1391" i="1"/>
  <c r="J1391" i="1"/>
  <c r="K1391" i="1"/>
  <c r="L1391" i="1"/>
  <c r="M1391" i="1"/>
  <c r="A1392" i="1"/>
  <c r="B1392" i="1"/>
  <c r="C1392" i="1"/>
  <c r="D1392" i="1"/>
  <c r="E1392" i="1"/>
  <c r="F1392" i="1"/>
  <c r="G1392" i="1"/>
  <c r="H1392" i="1"/>
  <c r="I1392" i="1"/>
  <c r="J1392" i="1"/>
  <c r="K1392" i="1"/>
  <c r="L1392" i="1"/>
  <c r="M1392" i="1"/>
  <c r="A1393" i="1"/>
  <c r="B1393" i="1"/>
  <c r="C1393" i="1"/>
  <c r="D1393" i="1"/>
  <c r="E1393" i="1"/>
  <c r="F1393" i="1"/>
  <c r="G1393" i="1"/>
  <c r="H1393" i="1"/>
  <c r="I1393" i="1"/>
  <c r="J1393" i="1"/>
  <c r="K1393" i="1"/>
  <c r="L1393" i="1"/>
  <c r="M1393" i="1"/>
  <c r="A1394" i="1"/>
  <c r="B1394" i="1"/>
  <c r="C1394" i="1"/>
  <c r="D1394" i="1"/>
  <c r="E1394" i="1"/>
  <c r="F1394" i="1"/>
  <c r="G1394" i="1"/>
  <c r="H1394" i="1"/>
  <c r="I1394" i="1"/>
  <c r="J1394" i="1"/>
  <c r="K1394" i="1"/>
  <c r="L1394" i="1"/>
  <c r="M1394" i="1"/>
  <c r="A1395" i="1"/>
  <c r="B1395" i="1"/>
  <c r="C1395" i="1"/>
  <c r="D1395" i="1"/>
  <c r="E1395" i="1"/>
  <c r="F1395" i="1"/>
  <c r="G1395" i="1"/>
  <c r="H1395" i="1"/>
  <c r="I1395" i="1"/>
  <c r="J1395" i="1"/>
  <c r="K1395" i="1"/>
  <c r="L1395" i="1"/>
  <c r="M1395" i="1"/>
  <c r="A1396" i="1"/>
  <c r="B1396" i="1"/>
  <c r="C1396" i="1"/>
  <c r="D1396" i="1"/>
  <c r="E1396" i="1"/>
  <c r="F1396" i="1"/>
  <c r="G1396" i="1"/>
  <c r="H1396" i="1"/>
  <c r="I1396" i="1"/>
  <c r="J1396" i="1"/>
  <c r="K1396" i="1"/>
  <c r="L1396" i="1"/>
  <c r="M1396" i="1"/>
  <c r="A1397" i="1"/>
  <c r="B1397" i="1"/>
  <c r="C1397" i="1"/>
  <c r="D1397" i="1"/>
  <c r="E1397" i="1"/>
  <c r="F1397" i="1"/>
  <c r="G1397" i="1"/>
  <c r="H1397" i="1"/>
  <c r="I1397" i="1"/>
  <c r="J1397" i="1"/>
  <c r="K1397" i="1"/>
  <c r="L1397" i="1"/>
  <c r="M1397" i="1"/>
  <c r="A1398" i="1"/>
  <c r="B1398" i="1"/>
  <c r="C1398" i="1"/>
  <c r="D1398" i="1"/>
  <c r="E1398" i="1"/>
  <c r="F1398" i="1"/>
  <c r="G1398" i="1"/>
  <c r="H1398" i="1"/>
  <c r="I1398" i="1"/>
  <c r="J1398" i="1"/>
  <c r="K1398" i="1"/>
  <c r="L1398" i="1"/>
  <c r="M1398" i="1"/>
  <c r="A1399" i="1"/>
  <c r="B1399" i="1"/>
  <c r="C1399" i="1"/>
  <c r="D1399" i="1"/>
  <c r="E1399" i="1"/>
  <c r="F1399" i="1"/>
  <c r="G1399" i="1"/>
  <c r="H1399" i="1"/>
  <c r="I1399" i="1"/>
  <c r="J1399" i="1"/>
  <c r="K1399" i="1"/>
  <c r="L1399" i="1"/>
  <c r="M1399" i="1"/>
  <c r="A1400" i="1"/>
  <c r="B1400" i="1"/>
  <c r="C1400" i="1"/>
  <c r="D1400" i="1"/>
  <c r="E1400" i="1"/>
  <c r="F1400" i="1"/>
  <c r="G1400" i="1"/>
  <c r="H1400" i="1"/>
  <c r="I1400" i="1"/>
  <c r="J1400" i="1"/>
  <c r="K1400" i="1"/>
  <c r="L1400" i="1"/>
  <c r="M1400" i="1"/>
  <c r="A1401" i="1"/>
  <c r="B1401" i="1"/>
  <c r="C1401" i="1"/>
  <c r="D1401" i="1"/>
  <c r="E1401" i="1"/>
  <c r="F1401" i="1"/>
  <c r="G1401" i="1"/>
  <c r="H1401" i="1"/>
  <c r="I1401" i="1"/>
  <c r="J1401" i="1"/>
  <c r="K1401" i="1"/>
  <c r="L1401" i="1"/>
  <c r="M1401" i="1"/>
  <c r="A1402" i="1"/>
  <c r="B1402" i="1"/>
  <c r="C1402" i="1"/>
  <c r="D1402" i="1"/>
  <c r="E1402" i="1"/>
  <c r="F1402" i="1"/>
  <c r="G1402" i="1"/>
  <c r="H1402" i="1"/>
  <c r="I1402" i="1"/>
  <c r="J1402" i="1"/>
  <c r="K1402" i="1"/>
  <c r="L1402" i="1"/>
  <c r="M1402" i="1"/>
  <c r="A1403" i="1"/>
  <c r="B1403" i="1"/>
  <c r="C1403" i="1"/>
  <c r="D1403" i="1"/>
  <c r="E1403" i="1"/>
  <c r="F1403" i="1"/>
  <c r="G1403" i="1"/>
  <c r="H1403" i="1"/>
  <c r="I1403" i="1"/>
  <c r="J1403" i="1"/>
  <c r="K1403" i="1"/>
  <c r="L1403" i="1"/>
  <c r="M1403" i="1"/>
  <c r="A1404" i="1"/>
  <c r="B1404" i="1"/>
  <c r="C1404" i="1"/>
  <c r="D1404" i="1"/>
  <c r="E1404" i="1"/>
  <c r="F1404" i="1"/>
  <c r="G1404" i="1"/>
  <c r="H1404" i="1"/>
  <c r="I1404" i="1"/>
  <c r="J1404" i="1"/>
  <c r="K1404" i="1"/>
  <c r="L1404" i="1"/>
  <c r="M1404" i="1"/>
  <c r="A1405" i="1"/>
  <c r="B1405" i="1"/>
  <c r="C1405" i="1"/>
  <c r="D1405" i="1"/>
  <c r="E1405" i="1"/>
  <c r="F1405" i="1"/>
  <c r="G1405" i="1"/>
  <c r="H1405" i="1"/>
  <c r="I1405" i="1"/>
  <c r="J1405" i="1"/>
  <c r="K1405" i="1"/>
  <c r="L1405" i="1"/>
  <c r="M1405" i="1"/>
  <c r="A1406" i="1"/>
  <c r="B1406" i="1"/>
  <c r="C1406" i="1"/>
  <c r="D1406" i="1"/>
  <c r="E1406" i="1"/>
  <c r="F1406" i="1"/>
  <c r="G1406" i="1"/>
  <c r="H1406" i="1"/>
  <c r="I1406" i="1"/>
  <c r="J1406" i="1"/>
  <c r="K1406" i="1"/>
  <c r="L1406" i="1"/>
  <c r="M1406" i="1"/>
  <c r="A1407" i="1"/>
  <c r="B1407" i="1"/>
  <c r="C1407" i="1"/>
  <c r="D1407" i="1"/>
  <c r="E1407" i="1"/>
  <c r="F1407" i="1"/>
  <c r="G1407" i="1"/>
  <c r="H1407" i="1"/>
  <c r="I1407" i="1"/>
  <c r="J1407" i="1"/>
  <c r="K1407" i="1"/>
  <c r="L1407" i="1"/>
  <c r="M1407" i="1"/>
  <c r="A1408" i="1"/>
  <c r="B1408" i="1"/>
  <c r="C1408" i="1"/>
  <c r="D1408" i="1"/>
  <c r="E1408" i="1"/>
  <c r="F1408" i="1"/>
  <c r="G1408" i="1"/>
  <c r="H1408" i="1"/>
  <c r="I1408" i="1"/>
  <c r="J1408" i="1"/>
  <c r="K1408" i="1"/>
  <c r="L1408" i="1"/>
  <c r="M1408" i="1"/>
  <c r="A1409" i="1"/>
  <c r="B1409" i="1"/>
  <c r="C1409" i="1"/>
  <c r="D1409" i="1"/>
  <c r="E1409" i="1"/>
  <c r="F1409" i="1"/>
  <c r="G1409" i="1"/>
  <c r="H1409" i="1"/>
  <c r="I1409" i="1"/>
  <c r="J1409" i="1"/>
  <c r="K1409" i="1"/>
  <c r="L1409" i="1"/>
  <c r="M1409" i="1"/>
  <c r="A1410" i="1"/>
  <c r="B1410" i="1"/>
  <c r="C1410" i="1"/>
  <c r="D1410" i="1"/>
  <c r="E1410" i="1"/>
  <c r="F1410" i="1"/>
  <c r="G1410" i="1"/>
  <c r="H1410" i="1"/>
  <c r="I1410" i="1"/>
  <c r="J1410" i="1"/>
  <c r="K1410" i="1"/>
  <c r="L1410" i="1"/>
  <c r="M1410" i="1"/>
  <c r="A1411" i="1"/>
  <c r="B1411" i="1"/>
  <c r="C1411" i="1"/>
  <c r="D1411" i="1"/>
  <c r="E1411" i="1"/>
  <c r="F1411" i="1"/>
  <c r="G1411" i="1"/>
  <c r="H1411" i="1"/>
  <c r="I1411" i="1"/>
  <c r="J1411" i="1"/>
  <c r="K1411" i="1"/>
  <c r="L1411" i="1"/>
  <c r="M1411" i="1"/>
  <c r="A1412" i="1"/>
  <c r="B1412" i="1"/>
  <c r="C1412" i="1"/>
  <c r="D1412" i="1"/>
  <c r="E1412" i="1"/>
  <c r="F1412" i="1"/>
  <c r="G1412" i="1"/>
  <c r="H1412" i="1"/>
  <c r="I1412" i="1"/>
  <c r="J1412" i="1"/>
  <c r="K1412" i="1"/>
  <c r="L1412" i="1"/>
  <c r="M1412" i="1"/>
  <c r="A1413" i="1"/>
  <c r="B1413" i="1"/>
  <c r="C1413" i="1"/>
  <c r="D1413" i="1"/>
  <c r="E1413" i="1"/>
  <c r="F1413" i="1"/>
  <c r="G1413" i="1"/>
  <c r="H1413" i="1"/>
  <c r="I1413" i="1"/>
  <c r="J1413" i="1"/>
  <c r="K1413" i="1"/>
  <c r="L1413" i="1"/>
  <c r="M1413" i="1"/>
  <c r="A1414" i="1"/>
  <c r="B1414" i="1"/>
  <c r="C1414" i="1"/>
  <c r="D1414" i="1"/>
  <c r="E1414" i="1"/>
  <c r="F1414" i="1"/>
  <c r="G1414" i="1"/>
  <c r="H1414" i="1"/>
  <c r="I1414" i="1"/>
  <c r="J1414" i="1"/>
  <c r="K1414" i="1"/>
  <c r="L1414" i="1"/>
  <c r="M1414" i="1"/>
  <c r="A1415" i="1"/>
  <c r="B1415" i="1"/>
  <c r="C1415" i="1"/>
  <c r="D1415" i="1"/>
  <c r="E1415" i="1"/>
  <c r="F1415" i="1"/>
  <c r="G1415" i="1"/>
  <c r="H1415" i="1"/>
  <c r="I1415" i="1"/>
  <c r="J1415" i="1"/>
  <c r="K1415" i="1"/>
  <c r="L1415" i="1"/>
  <c r="M1415" i="1"/>
  <c r="A1416" i="1"/>
  <c r="B1416" i="1"/>
  <c r="C1416" i="1"/>
  <c r="D1416" i="1"/>
  <c r="E1416" i="1"/>
  <c r="F1416" i="1"/>
  <c r="G1416" i="1"/>
  <c r="H1416" i="1"/>
  <c r="I1416" i="1"/>
  <c r="J1416" i="1"/>
  <c r="K1416" i="1"/>
  <c r="L1416" i="1"/>
  <c r="M1416" i="1"/>
  <c r="A1417" i="1"/>
  <c r="B1417" i="1"/>
  <c r="C1417" i="1"/>
  <c r="D1417" i="1"/>
  <c r="E1417" i="1"/>
  <c r="F1417" i="1"/>
  <c r="G1417" i="1"/>
  <c r="H1417" i="1"/>
  <c r="I1417" i="1"/>
  <c r="J1417" i="1"/>
  <c r="K1417" i="1"/>
  <c r="L1417" i="1"/>
  <c r="M1417" i="1"/>
  <c r="A1418" i="1"/>
  <c r="B1418" i="1"/>
  <c r="C1418" i="1"/>
  <c r="D1418" i="1"/>
  <c r="E1418" i="1"/>
  <c r="F1418" i="1"/>
  <c r="G1418" i="1"/>
  <c r="H1418" i="1"/>
  <c r="I1418" i="1"/>
  <c r="J1418" i="1"/>
  <c r="K1418" i="1"/>
  <c r="L1418" i="1"/>
  <c r="M1418" i="1"/>
  <c r="A1419" i="1"/>
  <c r="B1419" i="1"/>
  <c r="C1419" i="1"/>
  <c r="D1419" i="1"/>
  <c r="E1419" i="1"/>
  <c r="F1419" i="1"/>
  <c r="G1419" i="1"/>
  <c r="H1419" i="1"/>
  <c r="I1419" i="1"/>
  <c r="J1419" i="1"/>
  <c r="K1419" i="1"/>
  <c r="L1419" i="1"/>
  <c r="M1419" i="1"/>
  <c r="A1420" i="1"/>
  <c r="B1420" i="1"/>
  <c r="C1420" i="1"/>
  <c r="D1420" i="1"/>
  <c r="E1420" i="1"/>
  <c r="F1420" i="1"/>
  <c r="G1420" i="1"/>
  <c r="H1420" i="1"/>
  <c r="I1420" i="1"/>
  <c r="J1420" i="1"/>
  <c r="K1420" i="1"/>
  <c r="L1420" i="1"/>
  <c r="M1420" i="1"/>
  <c r="A1421" i="1"/>
  <c r="B1421" i="1"/>
  <c r="C1421" i="1"/>
  <c r="D1421" i="1"/>
  <c r="E1421" i="1"/>
  <c r="F1421" i="1"/>
  <c r="G1421" i="1"/>
  <c r="H1421" i="1"/>
  <c r="I1421" i="1"/>
  <c r="J1421" i="1"/>
  <c r="K1421" i="1"/>
  <c r="L1421" i="1"/>
  <c r="M1421" i="1"/>
  <c r="A1422" i="1"/>
  <c r="B1422" i="1"/>
  <c r="C1422" i="1"/>
  <c r="D1422" i="1"/>
  <c r="E1422" i="1"/>
  <c r="F1422" i="1"/>
  <c r="G1422" i="1"/>
  <c r="H1422" i="1"/>
  <c r="I1422" i="1"/>
  <c r="J1422" i="1"/>
  <c r="K1422" i="1"/>
  <c r="L1422" i="1"/>
  <c r="M1422" i="1"/>
  <c r="A1423" i="1"/>
  <c r="B1423" i="1"/>
  <c r="C1423" i="1"/>
  <c r="D1423" i="1"/>
  <c r="E1423" i="1"/>
  <c r="F1423" i="1"/>
  <c r="G1423" i="1"/>
  <c r="H1423" i="1"/>
  <c r="I1423" i="1"/>
  <c r="J1423" i="1"/>
  <c r="K1423" i="1"/>
  <c r="L1423" i="1"/>
  <c r="M1423" i="1"/>
  <c r="A1424" i="1"/>
  <c r="B1424" i="1"/>
  <c r="C1424" i="1"/>
  <c r="D1424" i="1"/>
  <c r="E1424" i="1"/>
  <c r="F1424" i="1"/>
  <c r="G1424" i="1"/>
  <c r="H1424" i="1"/>
  <c r="I1424" i="1"/>
  <c r="J1424" i="1"/>
  <c r="K1424" i="1"/>
  <c r="L1424" i="1"/>
  <c r="M1424" i="1"/>
  <c r="A1425" i="1"/>
  <c r="B1425" i="1"/>
  <c r="C1425" i="1"/>
  <c r="D1425" i="1"/>
  <c r="E1425" i="1"/>
  <c r="F1425" i="1"/>
  <c r="G1425" i="1"/>
  <c r="H1425" i="1"/>
  <c r="I1425" i="1"/>
  <c r="J1425" i="1"/>
  <c r="K1425" i="1"/>
  <c r="L1425" i="1"/>
  <c r="M1425" i="1"/>
  <c r="A1426" i="1"/>
  <c r="B1426" i="1"/>
  <c r="C1426" i="1"/>
  <c r="D1426" i="1"/>
  <c r="E1426" i="1"/>
  <c r="F1426" i="1"/>
  <c r="G1426" i="1"/>
  <c r="H1426" i="1"/>
  <c r="I1426" i="1"/>
  <c r="J1426" i="1"/>
  <c r="K1426" i="1"/>
  <c r="L1426" i="1"/>
  <c r="M1426" i="1"/>
  <c r="A1427" i="1"/>
  <c r="B1427" i="1"/>
  <c r="C1427" i="1"/>
  <c r="D1427" i="1"/>
  <c r="E1427" i="1"/>
  <c r="F1427" i="1"/>
  <c r="G1427" i="1"/>
  <c r="H1427" i="1"/>
  <c r="I1427" i="1"/>
  <c r="J1427" i="1"/>
  <c r="K1427" i="1"/>
  <c r="L1427" i="1"/>
  <c r="M1427" i="1"/>
  <c r="A1428" i="1"/>
  <c r="B1428" i="1"/>
  <c r="C1428" i="1"/>
  <c r="D1428" i="1"/>
  <c r="E1428" i="1"/>
  <c r="F1428" i="1"/>
  <c r="G1428" i="1"/>
  <c r="H1428" i="1"/>
  <c r="I1428" i="1"/>
  <c r="J1428" i="1"/>
  <c r="K1428" i="1"/>
  <c r="L1428" i="1"/>
  <c r="M1428" i="1"/>
  <c r="A1429" i="1"/>
  <c r="B1429" i="1"/>
  <c r="C1429" i="1"/>
  <c r="D1429" i="1"/>
  <c r="E1429" i="1"/>
  <c r="F1429" i="1"/>
  <c r="G1429" i="1"/>
  <c r="H1429" i="1"/>
  <c r="I1429" i="1"/>
  <c r="J1429" i="1"/>
  <c r="K1429" i="1"/>
  <c r="L1429" i="1"/>
  <c r="M1429" i="1"/>
  <c r="A1430" i="1"/>
  <c r="B1430" i="1"/>
  <c r="C1430" i="1"/>
  <c r="D1430" i="1"/>
  <c r="E1430" i="1"/>
  <c r="F1430" i="1"/>
  <c r="G1430" i="1"/>
  <c r="H1430" i="1"/>
  <c r="I1430" i="1"/>
  <c r="J1430" i="1"/>
  <c r="K1430" i="1"/>
  <c r="L1430" i="1"/>
  <c r="M1430" i="1"/>
  <c r="A1431" i="1"/>
  <c r="B1431" i="1"/>
  <c r="C1431" i="1"/>
  <c r="D1431" i="1"/>
  <c r="E1431" i="1"/>
  <c r="F1431" i="1"/>
  <c r="G1431" i="1"/>
  <c r="H1431" i="1"/>
  <c r="I1431" i="1"/>
  <c r="J1431" i="1"/>
  <c r="K1431" i="1"/>
  <c r="L1431" i="1"/>
  <c r="M1431" i="1"/>
  <c r="A1432" i="1"/>
  <c r="B1432" i="1"/>
  <c r="C1432" i="1"/>
  <c r="D1432" i="1"/>
  <c r="E1432" i="1"/>
  <c r="F1432" i="1"/>
  <c r="G1432" i="1"/>
  <c r="H1432" i="1"/>
  <c r="I1432" i="1"/>
  <c r="J1432" i="1"/>
  <c r="K1432" i="1"/>
  <c r="L1432" i="1"/>
  <c r="M1432" i="1"/>
  <c r="A1433" i="1"/>
  <c r="B1433" i="1"/>
  <c r="C1433" i="1"/>
  <c r="D1433" i="1"/>
  <c r="E1433" i="1"/>
  <c r="F1433" i="1"/>
  <c r="G1433" i="1"/>
  <c r="H1433" i="1"/>
  <c r="I1433" i="1"/>
  <c r="J1433" i="1"/>
  <c r="K1433" i="1"/>
  <c r="L1433" i="1"/>
  <c r="M1433" i="1"/>
  <c r="A1434" i="1"/>
  <c r="B1434" i="1"/>
  <c r="C1434" i="1"/>
  <c r="D1434" i="1"/>
  <c r="E1434" i="1"/>
  <c r="F1434" i="1"/>
  <c r="G1434" i="1"/>
  <c r="H1434" i="1"/>
  <c r="I1434" i="1"/>
  <c r="J1434" i="1"/>
  <c r="K1434" i="1"/>
  <c r="L1434" i="1"/>
  <c r="M1434" i="1"/>
  <c r="A1435" i="1"/>
  <c r="B1435" i="1"/>
  <c r="C1435" i="1"/>
  <c r="D1435" i="1"/>
  <c r="E1435" i="1"/>
  <c r="F1435" i="1"/>
  <c r="G1435" i="1"/>
  <c r="H1435" i="1"/>
  <c r="I1435" i="1"/>
  <c r="J1435" i="1"/>
  <c r="K1435" i="1"/>
  <c r="L1435" i="1"/>
  <c r="M1435" i="1"/>
  <c r="A1436" i="1"/>
  <c r="B1436" i="1"/>
  <c r="C1436" i="1"/>
  <c r="D1436" i="1"/>
  <c r="E1436" i="1"/>
  <c r="F1436" i="1"/>
  <c r="G1436" i="1"/>
  <c r="H1436" i="1"/>
  <c r="I1436" i="1"/>
  <c r="J1436" i="1"/>
  <c r="K1436" i="1"/>
  <c r="L1436" i="1"/>
  <c r="M1436" i="1"/>
  <c r="A1437" i="1"/>
  <c r="B1437" i="1"/>
  <c r="C1437" i="1"/>
  <c r="D1437" i="1"/>
  <c r="E1437" i="1"/>
  <c r="F1437" i="1"/>
  <c r="G1437" i="1"/>
  <c r="H1437" i="1"/>
  <c r="I1437" i="1"/>
  <c r="J1437" i="1"/>
  <c r="K1437" i="1"/>
  <c r="L1437" i="1"/>
  <c r="M1437" i="1"/>
  <c r="A1438" i="1"/>
  <c r="B1438" i="1"/>
  <c r="C1438" i="1"/>
  <c r="D1438" i="1"/>
  <c r="E1438" i="1"/>
  <c r="F1438" i="1"/>
  <c r="G1438" i="1"/>
  <c r="H1438" i="1"/>
  <c r="I1438" i="1"/>
  <c r="J1438" i="1"/>
  <c r="K1438" i="1"/>
  <c r="L1438" i="1"/>
  <c r="M1438" i="1"/>
  <c r="A1439" i="1"/>
  <c r="B1439" i="1"/>
  <c r="C1439" i="1"/>
  <c r="D1439" i="1"/>
  <c r="E1439" i="1"/>
  <c r="F1439" i="1"/>
  <c r="G1439" i="1"/>
  <c r="H1439" i="1"/>
  <c r="I1439" i="1"/>
  <c r="J1439" i="1"/>
  <c r="K1439" i="1"/>
  <c r="L1439" i="1"/>
  <c r="M1439" i="1"/>
  <c r="A1440" i="1"/>
  <c r="B1440" i="1"/>
  <c r="C1440" i="1"/>
  <c r="D1440" i="1"/>
  <c r="E1440" i="1"/>
  <c r="F1440" i="1"/>
  <c r="G1440" i="1"/>
  <c r="H1440" i="1"/>
  <c r="I1440" i="1"/>
  <c r="J1440" i="1"/>
  <c r="K1440" i="1"/>
  <c r="L1440" i="1"/>
  <c r="M1440" i="1"/>
  <c r="A1441" i="1"/>
  <c r="B1441" i="1"/>
  <c r="C1441" i="1"/>
  <c r="D1441" i="1"/>
  <c r="E1441" i="1"/>
  <c r="F1441" i="1"/>
  <c r="G1441" i="1"/>
  <c r="H1441" i="1"/>
  <c r="I1441" i="1"/>
  <c r="J1441" i="1"/>
  <c r="K1441" i="1"/>
  <c r="L1441" i="1"/>
  <c r="M1441" i="1"/>
  <c r="A1442" i="1"/>
  <c r="B1442" i="1"/>
  <c r="C1442" i="1"/>
  <c r="D1442" i="1"/>
  <c r="E1442" i="1"/>
  <c r="F1442" i="1"/>
  <c r="G1442" i="1"/>
  <c r="H1442" i="1"/>
  <c r="I1442" i="1"/>
  <c r="J1442" i="1"/>
  <c r="K1442" i="1"/>
  <c r="L1442" i="1"/>
  <c r="M1442" i="1"/>
  <c r="A1443" i="1"/>
  <c r="B1443" i="1"/>
  <c r="C1443" i="1"/>
  <c r="D1443" i="1"/>
  <c r="E1443" i="1"/>
  <c r="F1443" i="1"/>
  <c r="G1443" i="1"/>
  <c r="H1443" i="1"/>
  <c r="I1443" i="1"/>
  <c r="J1443" i="1"/>
  <c r="K1443" i="1"/>
  <c r="L1443" i="1"/>
  <c r="M1443" i="1"/>
</calcChain>
</file>

<file path=xl/sharedStrings.xml><?xml version="1.0" encoding="utf-8"?>
<sst xmlns="http://schemas.openxmlformats.org/spreadsheetml/2006/main" count="13" uniqueCount="13">
  <si>
    <t>所属Ｃ</t>
  </si>
  <si>
    <t>所属名称</t>
  </si>
  <si>
    <t>備品分類</t>
  </si>
  <si>
    <t>小分類名称</t>
  </si>
  <si>
    <t>形状・その他</t>
  </si>
  <si>
    <t>使用場所</t>
  </si>
  <si>
    <t>整理番号本番</t>
  </si>
  <si>
    <t>整理番号枝番</t>
  </si>
  <si>
    <t>異動日</t>
  </si>
  <si>
    <t>価額</t>
  </si>
  <si>
    <t>単位</t>
  </si>
  <si>
    <t>取得日</t>
  </si>
  <si>
    <t>使用開始日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</si>
</sst>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0" xfId="0" applyBorder="1">
      <alignment vertical="center"/>
    </xf>
    <xf numFmtId="0" fontId="0" fillId="0" borderId="10" xfId="0" applyFill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43"/>
  <sheetViews>
    <sheetView tabSelected="1" zoomScaleNormal="100" workbookViewId="0">
      <selection activeCell="P11" sqref="P11"/>
    </sheetView>
  </sheetViews>
  <sheetFormatPr defaultRowHeight="13.5" x14ac:dyDescent="0.15"/>
  <cols>
    <col min="1" max="1" width="12" customWidth="1"/>
    <col min="2" max="2" width="13.75" customWidth="1"/>
    <col min="3" max="3" width="10.125" customWidth="1"/>
    <col min="4" max="4" width="26.125" customWidth="1"/>
    <col min="5" max="5" width="34.375" style="1" customWidth="1"/>
    <col min="6" max="6" width="22" customWidth="1"/>
    <col min="7" max="7" width="12.75" customWidth="1"/>
    <col min="8" max="8" width="12.875" customWidth="1"/>
    <col min="13" max="13" width="11.25" customWidth="1"/>
  </cols>
  <sheetData>
    <row r="1" spans="1:13" x14ac:dyDescent="0.1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15">
      <c r="A2" s="2" t="str">
        <f t="shared" ref="A2:A33" si="0">"1881110500"</f>
        <v>1881110500</v>
      </c>
      <c r="B2" s="2" t="str">
        <f t="shared" ref="B2:B33" si="1">"佐伯・区政調整"</f>
        <v>佐伯・区政調整</v>
      </c>
      <c r="C2" s="2" t="str">
        <f t="shared" ref="C2:C20" si="2">"01ｲ00307"</f>
        <v>01ｲ00307</v>
      </c>
      <c r="D2" s="2" t="str">
        <f t="shared" ref="D2:D20" si="3">"長椅子"</f>
        <v>長椅子</v>
      </c>
      <c r="E2" s="3" t="str">
        <f>"背付"</f>
        <v>背付</v>
      </c>
      <c r="F2" s="2" t="str">
        <f t="shared" ref="F2:F33" si="4">"０００１"</f>
        <v>０００１</v>
      </c>
      <c r="G2" s="2" t="str">
        <f>"3620003096"</f>
        <v>3620003096</v>
      </c>
      <c r="H2" s="2" t="str">
        <f t="shared" ref="H2:H14" si="5">"001"</f>
        <v>001</v>
      </c>
      <c r="I2" s="2" t="str">
        <f t="shared" ref="I2:I31" si="6">"4100401"</f>
        <v>4100401</v>
      </c>
      <c r="J2" s="2">
        <f>92600</f>
        <v>92600</v>
      </c>
      <c r="K2" s="2" t="str">
        <f t="shared" ref="K2:K33" si="7">"脚"</f>
        <v>脚</v>
      </c>
      <c r="L2" s="2" t="str">
        <f t="shared" ref="L2:L31" si="8">"3630331"</f>
        <v>3630331</v>
      </c>
      <c r="M2" s="2" t="str">
        <f t="shared" ref="M2:M31" si="9">"3630331"</f>
        <v>3630331</v>
      </c>
    </row>
    <row r="3" spans="1:13" x14ac:dyDescent="0.15">
      <c r="A3" s="2" t="str">
        <f t="shared" si="0"/>
        <v>1881110500</v>
      </c>
      <c r="B3" s="2" t="str">
        <f t="shared" si="1"/>
        <v>佐伯・区政調整</v>
      </c>
      <c r="C3" s="2" t="str">
        <f t="shared" si="2"/>
        <v>01ｲ00307</v>
      </c>
      <c r="D3" s="2" t="str">
        <f t="shared" si="3"/>
        <v>長椅子</v>
      </c>
      <c r="E3" s="3" t="str">
        <f>"背付"</f>
        <v>背付</v>
      </c>
      <c r="F3" s="2" t="str">
        <f t="shared" si="4"/>
        <v>０００１</v>
      </c>
      <c r="G3" s="2" t="str">
        <f>"3620003097"</f>
        <v>3620003097</v>
      </c>
      <c r="H3" s="2" t="str">
        <f t="shared" si="5"/>
        <v>001</v>
      </c>
      <c r="I3" s="2" t="str">
        <f t="shared" si="6"/>
        <v>4100401</v>
      </c>
      <c r="J3" s="2">
        <f>92600</f>
        <v>92600</v>
      </c>
      <c r="K3" s="2" t="str">
        <f t="shared" si="7"/>
        <v>脚</v>
      </c>
      <c r="L3" s="2" t="str">
        <f t="shared" si="8"/>
        <v>3630331</v>
      </c>
      <c r="M3" s="2" t="str">
        <f t="shared" si="9"/>
        <v>3630331</v>
      </c>
    </row>
    <row r="4" spans="1:13" x14ac:dyDescent="0.15">
      <c r="A4" s="2" t="str">
        <f t="shared" si="0"/>
        <v>1881110500</v>
      </c>
      <c r="B4" s="2" t="str">
        <f t="shared" si="1"/>
        <v>佐伯・区政調整</v>
      </c>
      <c r="C4" s="2" t="str">
        <f t="shared" si="2"/>
        <v>01ｲ00307</v>
      </c>
      <c r="D4" s="2" t="str">
        <f t="shared" si="3"/>
        <v>長椅子</v>
      </c>
      <c r="E4" s="3" t="str">
        <f>"背付"</f>
        <v>背付</v>
      </c>
      <c r="F4" s="2" t="str">
        <f t="shared" si="4"/>
        <v>０００１</v>
      </c>
      <c r="G4" s="2" t="str">
        <f>"3620003098"</f>
        <v>3620003098</v>
      </c>
      <c r="H4" s="2" t="str">
        <f t="shared" si="5"/>
        <v>001</v>
      </c>
      <c r="I4" s="2" t="str">
        <f t="shared" si="6"/>
        <v>4100401</v>
      </c>
      <c r="J4" s="2">
        <f>26500</f>
        <v>26500</v>
      </c>
      <c r="K4" s="2" t="str">
        <f t="shared" si="7"/>
        <v>脚</v>
      </c>
      <c r="L4" s="2" t="str">
        <f t="shared" si="8"/>
        <v>3630331</v>
      </c>
      <c r="M4" s="2" t="str">
        <f t="shared" si="9"/>
        <v>3630331</v>
      </c>
    </row>
    <row r="5" spans="1:13" x14ac:dyDescent="0.15">
      <c r="A5" s="2" t="str">
        <f t="shared" si="0"/>
        <v>1881110500</v>
      </c>
      <c r="B5" s="2" t="str">
        <f t="shared" si="1"/>
        <v>佐伯・区政調整</v>
      </c>
      <c r="C5" s="2" t="str">
        <f t="shared" si="2"/>
        <v>01ｲ00307</v>
      </c>
      <c r="D5" s="2" t="str">
        <f t="shared" si="3"/>
        <v>長椅子</v>
      </c>
      <c r="E5" s="3" t="str">
        <f>"背付"</f>
        <v>背付</v>
      </c>
      <c r="F5" s="2" t="str">
        <f t="shared" si="4"/>
        <v>０００１</v>
      </c>
      <c r="G5" s="2" t="str">
        <f>"3620003099"</f>
        <v>3620003099</v>
      </c>
      <c r="H5" s="2" t="str">
        <f t="shared" si="5"/>
        <v>001</v>
      </c>
      <c r="I5" s="2" t="str">
        <f t="shared" si="6"/>
        <v>4100401</v>
      </c>
      <c r="J5" s="2">
        <f>26500</f>
        <v>26500</v>
      </c>
      <c r="K5" s="2" t="str">
        <f t="shared" si="7"/>
        <v>脚</v>
      </c>
      <c r="L5" s="2" t="str">
        <f t="shared" si="8"/>
        <v>3630331</v>
      </c>
      <c r="M5" s="2" t="str">
        <f t="shared" si="9"/>
        <v>3630331</v>
      </c>
    </row>
    <row r="6" spans="1:13" x14ac:dyDescent="0.15">
      <c r="A6" s="2" t="str">
        <f t="shared" si="0"/>
        <v>1881110500</v>
      </c>
      <c r="B6" s="2" t="str">
        <f t="shared" si="1"/>
        <v>佐伯・区政調整</v>
      </c>
      <c r="C6" s="2" t="str">
        <f t="shared" si="2"/>
        <v>01ｲ00307</v>
      </c>
      <c r="D6" s="2" t="str">
        <f t="shared" si="3"/>
        <v>長椅子</v>
      </c>
      <c r="E6" s="3" t="str">
        <f t="shared" ref="E6:E31" si="10">"背なし"</f>
        <v>背なし</v>
      </c>
      <c r="F6" s="2" t="str">
        <f t="shared" si="4"/>
        <v>０００１</v>
      </c>
      <c r="G6" s="2" t="str">
        <f>"3620003100"</f>
        <v>3620003100</v>
      </c>
      <c r="H6" s="2" t="str">
        <f t="shared" si="5"/>
        <v>001</v>
      </c>
      <c r="I6" s="2" t="str">
        <f t="shared" si="6"/>
        <v>4100401</v>
      </c>
      <c r="J6" s="2">
        <f>55100</f>
        <v>55100</v>
      </c>
      <c r="K6" s="2" t="str">
        <f t="shared" si="7"/>
        <v>脚</v>
      </c>
      <c r="L6" s="2" t="str">
        <f t="shared" si="8"/>
        <v>3630331</v>
      </c>
      <c r="M6" s="2" t="str">
        <f t="shared" si="9"/>
        <v>3630331</v>
      </c>
    </row>
    <row r="7" spans="1:13" x14ac:dyDescent="0.15">
      <c r="A7" s="2" t="str">
        <f t="shared" si="0"/>
        <v>1881110500</v>
      </c>
      <c r="B7" s="2" t="str">
        <f t="shared" si="1"/>
        <v>佐伯・区政調整</v>
      </c>
      <c r="C7" s="2" t="str">
        <f t="shared" si="2"/>
        <v>01ｲ00307</v>
      </c>
      <c r="D7" s="2" t="str">
        <f t="shared" si="3"/>
        <v>長椅子</v>
      </c>
      <c r="E7" s="3" t="str">
        <f t="shared" si="10"/>
        <v>背なし</v>
      </c>
      <c r="F7" s="2" t="str">
        <f t="shared" si="4"/>
        <v>０００１</v>
      </c>
      <c r="G7" s="2" t="str">
        <f>"3620003101"</f>
        <v>3620003101</v>
      </c>
      <c r="H7" s="2" t="str">
        <f t="shared" si="5"/>
        <v>001</v>
      </c>
      <c r="I7" s="2" t="str">
        <f t="shared" si="6"/>
        <v>4100401</v>
      </c>
      <c r="J7" s="2">
        <f>55100</f>
        <v>55100</v>
      </c>
      <c r="K7" s="2" t="str">
        <f t="shared" si="7"/>
        <v>脚</v>
      </c>
      <c r="L7" s="2" t="str">
        <f t="shared" si="8"/>
        <v>3630331</v>
      </c>
      <c r="M7" s="2" t="str">
        <f t="shared" si="9"/>
        <v>3630331</v>
      </c>
    </row>
    <row r="8" spans="1:13" x14ac:dyDescent="0.15">
      <c r="A8" s="2" t="str">
        <f t="shared" si="0"/>
        <v>1881110500</v>
      </c>
      <c r="B8" s="2" t="str">
        <f t="shared" si="1"/>
        <v>佐伯・区政調整</v>
      </c>
      <c r="C8" s="2" t="str">
        <f t="shared" si="2"/>
        <v>01ｲ00307</v>
      </c>
      <c r="D8" s="2" t="str">
        <f t="shared" si="3"/>
        <v>長椅子</v>
      </c>
      <c r="E8" s="3" t="str">
        <f t="shared" si="10"/>
        <v>背なし</v>
      </c>
      <c r="F8" s="2" t="str">
        <f t="shared" si="4"/>
        <v>０００１</v>
      </c>
      <c r="G8" s="2" t="str">
        <f>"3620003102"</f>
        <v>3620003102</v>
      </c>
      <c r="H8" s="2" t="str">
        <f t="shared" si="5"/>
        <v>001</v>
      </c>
      <c r="I8" s="2" t="str">
        <f t="shared" si="6"/>
        <v>4100401</v>
      </c>
      <c r="J8" s="2">
        <f>55100</f>
        <v>55100</v>
      </c>
      <c r="K8" s="2" t="str">
        <f t="shared" si="7"/>
        <v>脚</v>
      </c>
      <c r="L8" s="2" t="str">
        <f t="shared" si="8"/>
        <v>3630331</v>
      </c>
      <c r="M8" s="2" t="str">
        <f t="shared" si="9"/>
        <v>3630331</v>
      </c>
    </row>
    <row r="9" spans="1:13" x14ac:dyDescent="0.15">
      <c r="A9" s="2" t="str">
        <f t="shared" si="0"/>
        <v>1881110500</v>
      </c>
      <c r="B9" s="2" t="str">
        <f t="shared" si="1"/>
        <v>佐伯・区政調整</v>
      </c>
      <c r="C9" s="2" t="str">
        <f t="shared" si="2"/>
        <v>01ｲ00307</v>
      </c>
      <c r="D9" s="2" t="str">
        <f t="shared" si="3"/>
        <v>長椅子</v>
      </c>
      <c r="E9" s="3" t="str">
        <f t="shared" si="10"/>
        <v>背なし</v>
      </c>
      <c r="F9" s="2" t="str">
        <f t="shared" si="4"/>
        <v>０００１</v>
      </c>
      <c r="G9" s="2" t="str">
        <f>"3620003103"</f>
        <v>3620003103</v>
      </c>
      <c r="H9" s="2" t="str">
        <f t="shared" si="5"/>
        <v>001</v>
      </c>
      <c r="I9" s="2" t="str">
        <f t="shared" si="6"/>
        <v>4100401</v>
      </c>
      <c r="J9" s="2">
        <f>55100</f>
        <v>55100</v>
      </c>
      <c r="K9" s="2" t="str">
        <f t="shared" si="7"/>
        <v>脚</v>
      </c>
      <c r="L9" s="2" t="str">
        <f t="shared" si="8"/>
        <v>3630331</v>
      </c>
      <c r="M9" s="2" t="str">
        <f t="shared" si="9"/>
        <v>3630331</v>
      </c>
    </row>
    <row r="10" spans="1:13" x14ac:dyDescent="0.15">
      <c r="A10" s="2" t="str">
        <f t="shared" si="0"/>
        <v>1881110500</v>
      </c>
      <c r="B10" s="2" t="str">
        <f t="shared" si="1"/>
        <v>佐伯・区政調整</v>
      </c>
      <c r="C10" s="2" t="str">
        <f t="shared" si="2"/>
        <v>01ｲ00307</v>
      </c>
      <c r="D10" s="2" t="str">
        <f t="shared" si="3"/>
        <v>長椅子</v>
      </c>
      <c r="E10" s="3" t="str">
        <f t="shared" si="10"/>
        <v>背なし</v>
      </c>
      <c r="F10" s="2" t="str">
        <f t="shared" si="4"/>
        <v>０００１</v>
      </c>
      <c r="G10" s="2" t="str">
        <f>"3620003104"</f>
        <v>3620003104</v>
      </c>
      <c r="H10" s="2" t="str">
        <f t="shared" si="5"/>
        <v>001</v>
      </c>
      <c r="I10" s="2" t="str">
        <f t="shared" si="6"/>
        <v>4100401</v>
      </c>
      <c r="J10" s="2">
        <f>55100</f>
        <v>55100</v>
      </c>
      <c r="K10" s="2" t="str">
        <f t="shared" si="7"/>
        <v>脚</v>
      </c>
      <c r="L10" s="2" t="str">
        <f t="shared" si="8"/>
        <v>3630331</v>
      </c>
      <c r="M10" s="2" t="str">
        <f t="shared" si="9"/>
        <v>3630331</v>
      </c>
    </row>
    <row r="11" spans="1:13" x14ac:dyDescent="0.15">
      <c r="A11" s="2" t="str">
        <f t="shared" si="0"/>
        <v>1881110500</v>
      </c>
      <c r="B11" s="2" t="str">
        <f t="shared" si="1"/>
        <v>佐伯・区政調整</v>
      </c>
      <c r="C11" s="2" t="str">
        <f t="shared" si="2"/>
        <v>01ｲ00307</v>
      </c>
      <c r="D11" s="2" t="str">
        <f t="shared" si="3"/>
        <v>長椅子</v>
      </c>
      <c r="E11" s="3" t="str">
        <f t="shared" si="10"/>
        <v>背なし</v>
      </c>
      <c r="F11" s="2" t="str">
        <f t="shared" si="4"/>
        <v>０００１</v>
      </c>
      <c r="G11" s="2" t="str">
        <f>"3620003105"</f>
        <v>3620003105</v>
      </c>
      <c r="H11" s="2" t="str">
        <f t="shared" si="5"/>
        <v>001</v>
      </c>
      <c r="I11" s="2" t="str">
        <f t="shared" si="6"/>
        <v>4100401</v>
      </c>
      <c r="J11" s="2">
        <f>55100</f>
        <v>55100</v>
      </c>
      <c r="K11" s="2" t="str">
        <f t="shared" si="7"/>
        <v>脚</v>
      </c>
      <c r="L11" s="2" t="str">
        <f t="shared" si="8"/>
        <v>3630331</v>
      </c>
      <c r="M11" s="2" t="str">
        <f t="shared" si="9"/>
        <v>3630331</v>
      </c>
    </row>
    <row r="12" spans="1:13" x14ac:dyDescent="0.15">
      <c r="A12" s="2" t="str">
        <f t="shared" si="0"/>
        <v>1881110500</v>
      </c>
      <c r="B12" s="2" t="str">
        <f t="shared" si="1"/>
        <v>佐伯・区政調整</v>
      </c>
      <c r="C12" s="2" t="str">
        <f t="shared" si="2"/>
        <v>01ｲ00307</v>
      </c>
      <c r="D12" s="2" t="str">
        <f t="shared" si="3"/>
        <v>長椅子</v>
      </c>
      <c r="E12" s="3" t="str">
        <f t="shared" si="10"/>
        <v>背なし</v>
      </c>
      <c r="F12" s="2" t="str">
        <f t="shared" si="4"/>
        <v>０００１</v>
      </c>
      <c r="G12" s="2" t="str">
        <f>"3620003106"</f>
        <v>3620003106</v>
      </c>
      <c r="H12" s="2" t="str">
        <f t="shared" si="5"/>
        <v>001</v>
      </c>
      <c r="I12" s="2" t="str">
        <f t="shared" si="6"/>
        <v>4100401</v>
      </c>
      <c r="J12" s="2">
        <f>49000</f>
        <v>49000</v>
      </c>
      <c r="K12" s="2" t="str">
        <f t="shared" si="7"/>
        <v>脚</v>
      </c>
      <c r="L12" s="2" t="str">
        <f t="shared" si="8"/>
        <v>3630331</v>
      </c>
      <c r="M12" s="2" t="str">
        <f t="shared" si="9"/>
        <v>3630331</v>
      </c>
    </row>
    <row r="13" spans="1:13" x14ac:dyDescent="0.15">
      <c r="A13" s="2" t="str">
        <f t="shared" si="0"/>
        <v>1881110500</v>
      </c>
      <c r="B13" s="2" t="str">
        <f t="shared" si="1"/>
        <v>佐伯・区政調整</v>
      </c>
      <c r="C13" s="2" t="str">
        <f t="shared" si="2"/>
        <v>01ｲ00307</v>
      </c>
      <c r="D13" s="2" t="str">
        <f t="shared" si="3"/>
        <v>長椅子</v>
      </c>
      <c r="E13" s="3" t="str">
        <f t="shared" si="10"/>
        <v>背なし</v>
      </c>
      <c r="F13" s="2" t="str">
        <f t="shared" si="4"/>
        <v>０００１</v>
      </c>
      <c r="G13" s="2" t="str">
        <f>"3620003107"</f>
        <v>3620003107</v>
      </c>
      <c r="H13" s="2" t="str">
        <f t="shared" si="5"/>
        <v>001</v>
      </c>
      <c r="I13" s="2" t="str">
        <f t="shared" si="6"/>
        <v>4100401</v>
      </c>
      <c r="J13" s="2">
        <f>49000</f>
        <v>49000</v>
      </c>
      <c r="K13" s="2" t="str">
        <f t="shared" si="7"/>
        <v>脚</v>
      </c>
      <c r="L13" s="2" t="str">
        <f t="shared" si="8"/>
        <v>3630331</v>
      </c>
      <c r="M13" s="2" t="str">
        <f t="shared" si="9"/>
        <v>3630331</v>
      </c>
    </row>
    <row r="14" spans="1:13" x14ac:dyDescent="0.15">
      <c r="A14" s="2" t="str">
        <f t="shared" si="0"/>
        <v>1881110500</v>
      </c>
      <c r="B14" s="2" t="str">
        <f t="shared" si="1"/>
        <v>佐伯・区政調整</v>
      </c>
      <c r="C14" s="2" t="str">
        <f t="shared" si="2"/>
        <v>01ｲ00307</v>
      </c>
      <c r="D14" s="2" t="str">
        <f t="shared" si="3"/>
        <v>長椅子</v>
      </c>
      <c r="E14" s="3" t="str">
        <f t="shared" si="10"/>
        <v>背なし</v>
      </c>
      <c r="F14" s="2" t="str">
        <f t="shared" si="4"/>
        <v>０００１</v>
      </c>
      <c r="G14" s="2" t="str">
        <f>"3620003108"</f>
        <v>3620003108</v>
      </c>
      <c r="H14" s="2" t="str">
        <f t="shared" si="5"/>
        <v>001</v>
      </c>
      <c r="I14" s="2" t="str">
        <f t="shared" si="6"/>
        <v>4100401</v>
      </c>
      <c r="J14" s="2">
        <f>49000</f>
        <v>49000</v>
      </c>
      <c r="K14" s="2" t="str">
        <f t="shared" si="7"/>
        <v>脚</v>
      </c>
      <c r="L14" s="2" t="str">
        <f t="shared" si="8"/>
        <v>3630331</v>
      </c>
      <c r="M14" s="2" t="str">
        <f t="shared" si="9"/>
        <v>3630331</v>
      </c>
    </row>
    <row r="15" spans="1:13" x14ac:dyDescent="0.15">
      <c r="A15" s="2" t="str">
        <f t="shared" si="0"/>
        <v>1881110500</v>
      </c>
      <c r="B15" s="2" t="str">
        <f t="shared" si="1"/>
        <v>佐伯・区政調整</v>
      </c>
      <c r="C15" s="2" t="str">
        <f t="shared" si="2"/>
        <v>01ｲ00307</v>
      </c>
      <c r="D15" s="2" t="str">
        <f t="shared" si="3"/>
        <v>長椅子</v>
      </c>
      <c r="E15" s="3" t="str">
        <f t="shared" si="10"/>
        <v>背なし</v>
      </c>
      <c r="F15" s="2" t="str">
        <f t="shared" si="4"/>
        <v>０００１</v>
      </c>
      <c r="G15" s="2" t="str">
        <f>"3620003109"</f>
        <v>3620003109</v>
      </c>
      <c r="H15" s="2" t="str">
        <f t="shared" ref="H15:H32" si="11">"001"</f>
        <v>001</v>
      </c>
      <c r="I15" s="2" t="str">
        <f t="shared" si="6"/>
        <v>4100401</v>
      </c>
      <c r="J15" s="2">
        <f>49000</f>
        <v>49000</v>
      </c>
      <c r="K15" s="2" t="str">
        <f t="shared" si="7"/>
        <v>脚</v>
      </c>
      <c r="L15" s="2" t="str">
        <f t="shared" si="8"/>
        <v>3630331</v>
      </c>
      <c r="M15" s="2" t="str">
        <f t="shared" si="9"/>
        <v>3630331</v>
      </c>
    </row>
    <row r="16" spans="1:13" x14ac:dyDescent="0.15">
      <c r="A16" s="2" t="str">
        <f t="shared" si="0"/>
        <v>1881110500</v>
      </c>
      <c r="B16" s="2" t="str">
        <f t="shared" si="1"/>
        <v>佐伯・区政調整</v>
      </c>
      <c r="C16" s="2" t="str">
        <f t="shared" si="2"/>
        <v>01ｲ00307</v>
      </c>
      <c r="D16" s="2" t="str">
        <f t="shared" si="3"/>
        <v>長椅子</v>
      </c>
      <c r="E16" s="3" t="str">
        <f t="shared" si="10"/>
        <v>背なし</v>
      </c>
      <c r="F16" s="2" t="str">
        <f t="shared" si="4"/>
        <v>０００１</v>
      </c>
      <c r="G16" s="2" t="str">
        <f>"3620003110"</f>
        <v>3620003110</v>
      </c>
      <c r="H16" s="2" t="str">
        <f t="shared" si="11"/>
        <v>001</v>
      </c>
      <c r="I16" s="2" t="str">
        <f t="shared" si="6"/>
        <v>4100401</v>
      </c>
      <c r="J16" s="2">
        <f>49000</f>
        <v>49000</v>
      </c>
      <c r="K16" s="2" t="str">
        <f t="shared" si="7"/>
        <v>脚</v>
      </c>
      <c r="L16" s="2" t="str">
        <f t="shared" si="8"/>
        <v>3630331</v>
      </c>
      <c r="M16" s="2" t="str">
        <f t="shared" si="9"/>
        <v>3630331</v>
      </c>
    </row>
    <row r="17" spans="1:13" x14ac:dyDescent="0.15">
      <c r="A17" s="2" t="str">
        <f t="shared" si="0"/>
        <v>1881110500</v>
      </c>
      <c r="B17" s="2" t="str">
        <f t="shared" si="1"/>
        <v>佐伯・区政調整</v>
      </c>
      <c r="C17" s="2" t="str">
        <f t="shared" si="2"/>
        <v>01ｲ00307</v>
      </c>
      <c r="D17" s="2" t="str">
        <f t="shared" si="3"/>
        <v>長椅子</v>
      </c>
      <c r="E17" s="3" t="str">
        <f t="shared" si="10"/>
        <v>背なし</v>
      </c>
      <c r="F17" s="2" t="str">
        <f t="shared" si="4"/>
        <v>０００１</v>
      </c>
      <c r="G17" s="2" t="str">
        <f>"3620003111"</f>
        <v>3620003111</v>
      </c>
      <c r="H17" s="2" t="str">
        <f t="shared" si="11"/>
        <v>001</v>
      </c>
      <c r="I17" s="2" t="str">
        <f t="shared" si="6"/>
        <v>4100401</v>
      </c>
      <c r="J17" s="2">
        <f>49000</f>
        <v>49000</v>
      </c>
      <c r="K17" s="2" t="str">
        <f t="shared" si="7"/>
        <v>脚</v>
      </c>
      <c r="L17" s="2" t="str">
        <f t="shared" si="8"/>
        <v>3630331</v>
      </c>
      <c r="M17" s="2" t="str">
        <f t="shared" si="9"/>
        <v>3630331</v>
      </c>
    </row>
    <row r="18" spans="1:13" x14ac:dyDescent="0.15">
      <c r="A18" s="2" t="str">
        <f t="shared" si="0"/>
        <v>1881110500</v>
      </c>
      <c r="B18" s="2" t="str">
        <f t="shared" si="1"/>
        <v>佐伯・区政調整</v>
      </c>
      <c r="C18" s="2" t="str">
        <f t="shared" si="2"/>
        <v>01ｲ00307</v>
      </c>
      <c r="D18" s="2" t="str">
        <f t="shared" si="3"/>
        <v>長椅子</v>
      </c>
      <c r="E18" s="3" t="str">
        <f t="shared" si="10"/>
        <v>背なし</v>
      </c>
      <c r="F18" s="2" t="str">
        <f t="shared" si="4"/>
        <v>０００１</v>
      </c>
      <c r="G18" s="2" t="str">
        <f>"3620003112"</f>
        <v>3620003112</v>
      </c>
      <c r="H18" s="2" t="str">
        <f t="shared" si="11"/>
        <v>001</v>
      </c>
      <c r="I18" s="2" t="str">
        <f t="shared" si="6"/>
        <v>4100401</v>
      </c>
      <c r="J18" s="2">
        <f>49000</f>
        <v>49000</v>
      </c>
      <c r="K18" s="2" t="str">
        <f t="shared" si="7"/>
        <v>脚</v>
      </c>
      <c r="L18" s="2" t="str">
        <f t="shared" si="8"/>
        <v>3630331</v>
      </c>
      <c r="M18" s="2" t="str">
        <f t="shared" si="9"/>
        <v>3630331</v>
      </c>
    </row>
    <row r="19" spans="1:13" x14ac:dyDescent="0.15">
      <c r="A19" s="2" t="str">
        <f t="shared" si="0"/>
        <v>1881110500</v>
      </c>
      <c r="B19" s="2" t="str">
        <f t="shared" si="1"/>
        <v>佐伯・区政調整</v>
      </c>
      <c r="C19" s="2" t="str">
        <f t="shared" si="2"/>
        <v>01ｲ00307</v>
      </c>
      <c r="D19" s="2" t="str">
        <f t="shared" si="3"/>
        <v>長椅子</v>
      </c>
      <c r="E19" s="3" t="str">
        <f t="shared" si="10"/>
        <v>背なし</v>
      </c>
      <c r="F19" s="2" t="str">
        <f t="shared" si="4"/>
        <v>０００１</v>
      </c>
      <c r="G19" s="2" t="str">
        <f>"3620003113"</f>
        <v>3620003113</v>
      </c>
      <c r="H19" s="2" t="str">
        <f t="shared" si="11"/>
        <v>001</v>
      </c>
      <c r="I19" s="2" t="str">
        <f t="shared" si="6"/>
        <v>4100401</v>
      </c>
      <c r="J19" s="2">
        <f>49000</f>
        <v>49000</v>
      </c>
      <c r="K19" s="2" t="str">
        <f t="shared" si="7"/>
        <v>脚</v>
      </c>
      <c r="L19" s="2" t="str">
        <f t="shared" si="8"/>
        <v>3630331</v>
      </c>
      <c r="M19" s="2" t="str">
        <f t="shared" si="9"/>
        <v>3630331</v>
      </c>
    </row>
    <row r="20" spans="1:13" x14ac:dyDescent="0.15">
      <c r="A20" s="2" t="str">
        <f t="shared" si="0"/>
        <v>1881110500</v>
      </c>
      <c r="B20" s="2" t="str">
        <f t="shared" si="1"/>
        <v>佐伯・区政調整</v>
      </c>
      <c r="C20" s="2" t="str">
        <f t="shared" si="2"/>
        <v>01ｲ00307</v>
      </c>
      <c r="D20" s="2" t="str">
        <f t="shared" si="3"/>
        <v>長椅子</v>
      </c>
      <c r="E20" s="3" t="str">
        <f t="shared" si="10"/>
        <v>背なし</v>
      </c>
      <c r="F20" s="2" t="str">
        <f t="shared" si="4"/>
        <v>０００１</v>
      </c>
      <c r="G20" s="2" t="str">
        <f>"3620003114"</f>
        <v>3620003114</v>
      </c>
      <c r="H20" s="2" t="str">
        <f t="shared" si="11"/>
        <v>001</v>
      </c>
      <c r="I20" s="2" t="str">
        <f t="shared" si="6"/>
        <v>4100401</v>
      </c>
      <c r="J20" s="2">
        <f>49000</f>
        <v>49000</v>
      </c>
      <c r="K20" s="2" t="str">
        <f t="shared" si="7"/>
        <v>脚</v>
      </c>
      <c r="L20" s="2" t="str">
        <f t="shared" si="8"/>
        <v>3630331</v>
      </c>
      <c r="M20" s="2" t="str">
        <f t="shared" si="9"/>
        <v>3630331</v>
      </c>
    </row>
    <row r="21" spans="1:13" x14ac:dyDescent="0.15">
      <c r="A21" s="2" t="str">
        <f t="shared" si="0"/>
        <v>1881110500</v>
      </c>
      <c r="B21" s="2" t="str">
        <f t="shared" si="1"/>
        <v>佐伯・区政調整</v>
      </c>
      <c r="C21" s="2" t="str">
        <f t="shared" ref="C21:C33" si="12">"01ｲ00307"</f>
        <v>01ｲ00307</v>
      </c>
      <c r="D21" s="2" t="str">
        <f t="shared" ref="D21:D33" si="13">"長椅子"</f>
        <v>長椅子</v>
      </c>
      <c r="E21" s="3" t="str">
        <f t="shared" si="10"/>
        <v>背なし</v>
      </c>
      <c r="F21" s="2" t="str">
        <f t="shared" si="4"/>
        <v>０００１</v>
      </c>
      <c r="G21" s="2" t="str">
        <f>"3620003115"</f>
        <v>3620003115</v>
      </c>
      <c r="H21" s="2" t="str">
        <f t="shared" si="11"/>
        <v>001</v>
      </c>
      <c r="I21" s="2" t="str">
        <f t="shared" si="6"/>
        <v>4100401</v>
      </c>
      <c r="J21" s="2">
        <f>49000</f>
        <v>49000</v>
      </c>
      <c r="K21" s="2" t="str">
        <f t="shared" si="7"/>
        <v>脚</v>
      </c>
      <c r="L21" s="2" t="str">
        <f t="shared" si="8"/>
        <v>3630331</v>
      </c>
      <c r="M21" s="2" t="str">
        <f t="shared" si="9"/>
        <v>3630331</v>
      </c>
    </row>
    <row r="22" spans="1:13" x14ac:dyDescent="0.15">
      <c r="A22" s="2" t="str">
        <f t="shared" si="0"/>
        <v>1881110500</v>
      </c>
      <c r="B22" s="2" t="str">
        <f t="shared" si="1"/>
        <v>佐伯・区政調整</v>
      </c>
      <c r="C22" s="2" t="str">
        <f t="shared" si="12"/>
        <v>01ｲ00307</v>
      </c>
      <c r="D22" s="2" t="str">
        <f t="shared" si="13"/>
        <v>長椅子</v>
      </c>
      <c r="E22" s="3" t="str">
        <f t="shared" si="10"/>
        <v>背なし</v>
      </c>
      <c r="F22" s="2" t="str">
        <f t="shared" si="4"/>
        <v>０００１</v>
      </c>
      <c r="G22" s="2" t="str">
        <f>"3620003116"</f>
        <v>3620003116</v>
      </c>
      <c r="H22" s="2" t="str">
        <f t="shared" si="11"/>
        <v>001</v>
      </c>
      <c r="I22" s="2" t="str">
        <f t="shared" si="6"/>
        <v>4100401</v>
      </c>
      <c r="J22" s="2">
        <f>49000</f>
        <v>49000</v>
      </c>
      <c r="K22" s="2" t="str">
        <f t="shared" si="7"/>
        <v>脚</v>
      </c>
      <c r="L22" s="2" t="str">
        <f t="shared" si="8"/>
        <v>3630331</v>
      </c>
      <c r="M22" s="2" t="str">
        <f t="shared" si="9"/>
        <v>3630331</v>
      </c>
    </row>
    <row r="23" spans="1:13" x14ac:dyDescent="0.15">
      <c r="A23" s="2" t="str">
        <f t="shared" si="0"/>
        <v>1881110500</v>
      </c>
      <c r="B23" s="2" t="str">
        <f t="shared" si="1"/>
        <v>佐伯・区政調整</v>
      </c>
      <c r="C23" s="2" t="str">
        <f t="shared" si="12"/>
        <v>01ｲ00307</v>
      </c>
      <c r="D23" s="2" t="str">
        <f t="shared" si="13"/>
        <v>長椅子</v>
      </c>
      <c r="E23" s="3" t="str">
        <f t="shared" si="10"/>
        <v>背なし</v>
      </c>
      <c r="F23" s="2" t="str">
        <f t="shared" si="4"/>
        <v>０００１</v>
      </c>
      <c r="G23" s="2" t="str">
        <f>"3620003117"</f>
        <v>3620003117</v>
      </c>
      <c r="H23" s="2" t="str">
        <f t="shared" si="11"/>
        <v>001</v>
      </c>
      <c r="I23" s="2" t="str">
        <f t="shared" si="6"/>
        <v>4100401</v>
      </c>
      <c r="J23" s="2">
        <f>49000</f>
        <v>49000</v>
      </c>
      <c r="K23" s="2" t="str">
        <f t="shared" si="7"/>
        <v>脚</v>
      </c>
      <c r="L23" s="2" t="str">
        <f t="shared" si="8"/>
        <v>3630331</v>
      </c>
      <c r="M23" s="2" t="str">
        <f t="shared" si="9"/>
        <v>3630331</v>
      </c>
    </row>
    <row r="24" spans="1:13" x14ac:dyDescent="0.15">
      <c r="A24" s="2" t="str">
        <f t="shared" si="0"/>
        <v>1881110500</v>
      </c>
      <c r="B24" s="2" t="str">
        <f t="shared" si="1"/>
        <v>佐伯・区政調整</v>
      </c>
      <c r="C24" s="2" t="str">
        <f t="shared" si="12"/>
        <v>01ｲ00307</v>
      </c>
      <c r="D24" s="2" t="str">
        <f t="shared" si="13"/>
        <v>長椅子</v>
      </c>
      <c r="E24" s="3" t="str">
        <f t="shared" si="10"/>
        <v>背なし</v>
      </c>
      <c r="F24" s="2" t="str">
        <f t="shared" si="4"/>
        <v>０００１</v>
      </c>
      <c r="G24" s="2" t="str">
        <f>"3620003118"</f>
        <v>3620003118</v>
      </c>
      <c r="H24" s="2" t="str">
        <f t="shared" si="11"/>
        <v>001</v>
      </c>
      <c r="I24" s="2" t="str">
        <f t="shared" si="6"/>
        <v>4100401</v>
      </c>
      <c r="J24" s="2">
        <f>49000</f>
        <v>49000</v>
      </c>
      <c r="K24" s="2" t="str">
        <f t="shared" si="7"/>
        <v>脚</v>
      </c>
      <c r="L24" s="2" t="str">
        <f t="shared" si="8"/>
        <v>3630331</v>
      </c>
      <c r="M24" s="2" t="str">
        <f t="shared" si="9"/>
        <v>3630331</v>
      </c>
    </row>
    <row r="25" spans="1:13" x14ac:dyDescent="0.15">
      <c r="A25" s="2" t="str">
        <f t="shared" si="0"/>
        <v>1881110500</v>
      </c>
      <c r="B25" s="2" t="str">
        <f t="shared" si="1"/>
        <v>佐伯・区政調整</v>
      </c>
      <c r="C25" s="2" t="str">
        <f t="shared" si="12"/>
        <v>01ｲ00307</v>
      </c>
      <c r="D25" s="2" t="str">
        <f t="shared" si="13"/>
        <v>長椅子</v>
      </c>
      <c r="E25" s="3" t="str">
        <f t="shared" si="10"/>
        <v>背なし</v>
      </c>
      <c r="F25" s="2" t="str">
        <f t="shared" si="4"/>
        <v>０００１</v>
      </c>
      <c r="G25" s="2" t="str">
        <f>"3620003119"</f>
        <v>3620003119</v>
      </c>
      <c r="H25" s="2" t="str">
        <f t="shared" si="11"/>
        <v>001</v>
      </c>
      <c r="I25" s="2" t="str">
        <f t="shared" si="6"/>
        <v>4100401</v>
      </c>
      <c r="J25" s="2">
        <f>34400</f>
        <v>34400</v>
      </c>
      <c r="K25" s="2" t="str">
        <f t="shared" si="7"/>
        <v>脚</v>
      </c>
      <c r="L25" s="2" t="str">
        <f t="shared" si="8"/>
        <v>3630331</v>
      </c>
      <c r="M25" s="2" t="str">
        <f t="shared" si="9"/>
        <v>3630331</v>
      </c>
    </row>
    <row r="26" spans="1:13" x14ac:dyDescent="0.15">
      <c r="A26" s="2" t="str">
        <f t="shared" si="0"/>
        <v>1881110500</v>
      </c>
      <c r="B26" s="2" t="str">
        <f t="shared" si="1"/>
        <v>佐伯・区政調整</v>
      </c>
      <c r="C26" s="2" t="str">
        <f t="shared" si="12"/>
        <v>01ｲ00307</v>
      </c>
      <c r="D26" s="2" t="str">
        <f t="shared" si="13"/>
        <v>長椅子</v>
      </c>
      <c r="E26" s="3" t="str">
        <f t="shared" si="10"/>
        <v>背なし</v>
      </c>
      <c r="F26" s="2" t="str">
        <f t="shared" si="4"/>
        <v>０００１</v>
      </c>
      <c r="G26" s="2" t="str">
        <f>"3620003120"</f>
        <v>3620003120</v>
      </c>
      <c r="H26" s="2" t="str">
        <f t="shared" si="11"/>
        <v>001</v>
      </c>
      <c r="I26" s="2" t="str">
        <f t="shared" si="6"/>
        <v>4100401</v>
      </c>
      <c r="J26" s="2">
        <f>34400</f>
        <v>34400</v>
      </c>
      <c r="K26" s="2" t="str">
        <f t="shared" si="7"/>
        <v>脚</v>
      </c>
      <c r="L26" s="2" t="str">
        <f t="shared" si="8"/>
        <v>3630331</v>
      </c>
      <c r="M26" s="2" t="str">
        <f t="shared" si="9"/>
        <v>3630331</v>
      </c>
    </row>
    <row r="27" spans="1:13" x14ac:dyDescent="0.15">
      <c r="A27" s="2" t="str">
        <f t="shared" si="0"/>
        <v>1881110500</v>
      </c>
      <c r="B27" s="2" t="str">
        <f t="shared" si="1"/>
        <v>佐伯・区政調整</v>
      </c>
      <c r="C27" s="2" t="str">
        <f t="shared" si="12"/>
        <v>01ｲ00307</v>
      </c>
      <c r="D27" s="2" t="str">
        <f t="shared" si="13"/>
        <v>長椅子</v>
      </c>
      <c r="E27" s="3" t="str">
        <f t="shared" si="10"/>
        <v>背なし</v>
      </c>
      <c r="F27" s="2" t="str">
        <f t="shared" si="4"/>
        <v>０００１</v>
      </c>
      <c r="G27" s="2" t="str">
        <f>"3620003121"</f>
        <v>3620003121</v>
      </c>
      <c r="H27" s="2" t="str">
        <f t="shared" si="11"/>
        <v>001</v>
      </c>
      <c r="I27" s="2" t="str">
        <f t="shared" si="6"/>
        <v>4100401</v>
      </c>
      <c r="J27" s="2">
        <f>34400</f>
        <v>34400</v>
      </c>
      <c r="K27" s="2" t="str">
        <f t="shared" si="7"/>
        <v>脚</v>
      </c>
      <c r="L27" s="2" t="str">
        <f t="shared" si="8"/>
        <v>3630331</v>
      </c>
      <c r="M27" s="2" t="str">
        <f t="shared" si="9"/>
        <v>3630331</v>
      </c>
    </row>
    <row r="28" spans="1:13" x14ac:dyDescent="0.15">
      <c r="A28" s="2" t="str">
        <f t="shared" si="0"/>
        <v>1881110500</v>
      </c>
      <c r="B28" s="2" t="str">
        <f t="shared" si="1"/>
        <v>佐伯・区政調整</v>
      </c>
      <c r="C28" s="2" t="str">
        <f t="shared" si="12"/>
        <v>01ｲ00307</v>
      </c>
      <c r="D28" s="2" t="str">
        <f t="shared" si="13"/>
        <v>長椅子</v>
      </c>
      <c r="E28" s="3" t="str">
        <f t="shared" si="10"/>
        <v>背なし</v>
      </c>
      <c r="F28" s="2" t="str">
        <f t="shared" si="4"/>
        <v>０００１</v>
      </c>
      <c r="G28" s="2" t="str">
        <f>"3620003122"</f>
        <v>3620003122</v>
      </c>
      <c r="H28" s="2" t="str">
        <f t="shared" si="11"/>
        <v>001</v>
      </c>
      <c r="I28" s="2" t="str">
        <f t="shared" si="6"/>
        <v>4100401</v>
      </c>
      <c r="J28" s="2">
        <f>34400</f>
        <v>34400</v>
      </c>
      <c r="K28" s="2" t="str">
        <f t="shared" si="7"/>
        <v>脚</v>
      </c>
      <c r="L28" s="2" t="str">
        <f t="shared" si="8"/>
        <v>3630331</v>
      </c>
      <c r="M28" s="2" t="str">
        <f t="shared" si="9"/>
        <v>3630331</v>
      </c>
    </row>
    <row r="29" spans="1:13" x14ac:dyDescent="0.15">
      <c r="A29" s="2" t="str">
        <f t="shared" si="0"/>
        <v>1881110500</v>
      </c>
      <c r="B29" s="2" t="str">
        <f t="shared" si="1"/>
        <v>佐伯・区政調整</v>
      </c>
      <c r="C29" s="2" t="str">
        <f t="shared" si="12"/>
        <v>01ｲ00307</v>
      </c>
      <c r="D29" s="2" t="str">
        <f t="shared" si="13"/>
        <v>長椅子</v>
      </c>
      <c r="E29" s="3" t="str">
        <f t="shared" si="10"/>
        <v>背なし</v>
      </c>
      <c r="F29" s="2" t="str">
        <f t="shared" si="4"/>
        <v>０００１</v>
      </c>
      <c r="G29" s="2" t="str">
        <f>"3620003123"</f>
        <v>3620003123</v>
      </c>
      <c r="H29" s="2" t="str">
        <f t="shared" si="11"/>
        <v>001</v>
      </c>
      <c r="I29" s="2" t="str">
        <f t="shared" si="6"/>
        <v>4100401</v>
      </c>
      <c r="J29" s="2">
        <f>34400</f>
        <v>34400</v>
      </c>
      <c r="K29" s="2" t="str">
        <f t="shared" si="7"/>
        <v>脚</v>
      </c>
      <c r="L29" s="2" t="str">
        <f t="shared" si="8"/>
        <v>3630331</v>
      </c>
      <c r="M29" s="2" t="str">
        <f t="shared" si="9"/>
        <v>3630331</v>
      </c>
    </row>
    <row r="30" spans="1:13" x14ac:dyDescent="0.15">
      <c r="A30" s="2" t="str">
        <f t="shared" si="0"/>
        <v>1881110500</v>
      </c>
      <c r="B30" s="2" t="str">
        <f t="shared" si="1"/>
        <v>佐伯・区政調整</v>
      </c>
      <c r="C30" s="2" t="str">
        <f t="shared" si="12"/>
        <v>01ｲ00307</v>
      </c>
      <c r="D30" s="2" t="str">
        <f t="shared" si="13"/>
        <v>長椅子</v>
      </c>
      <c r="E30" s="3" t="str">
        <f t="shared" si="10"/>
        <v>背なし</v>
      </c>
      <c r="F30" s="2" t="str">
        <f t="shared" si="4"/>
        <v>０００１</v>
      </c>
      <c r="G30" s="2" t="str">
        <f>"3620003124"</f>
        <v>3620003124</v>
      </c>
      <c r="H30" s="2" t="str">
        <f t="shared" si="11"/>
        <v>001</v>
      </c>
      <c r="I30" s="2" t="str">
        <f t="shared" si="6"/>
        <v>4100401</v>
      </c>
      <c r="J30" s="2">
        <f>34400</f>
        <v>34400</v>
      </c>
      <c r="K30" s="2" t="str">
        <f t="shared" si="7"/>
        <v>脚</v>
      </c>
      <c r="L30" s="2" t="str">
        <f t="shared" si="8"/>
        <v>3630331</v>
      </c>
      <c r="M30" s="2" t="str">
        <f t="shared" si="9"/>
        <v>3630331</v>
      </c>
    </row>
    <row r="31" spans="1:13" x14ac:dyDescent="0.15">
      <c r="A31" s="2" t="str">
        <f t="shared" si="0"/>
        <v>1881110500</v>
      </c>
      <c r="B31" s="2" t="str">
        <f t="shared" si="1"/>
        <v>佐伯・区政調整</v>
      </c>
      <c r="C31" s="2" t="str">
        <f t="shared" si="12"/>
        <v>01ｲ00307</v>
      </c>
      <c r="D31" s="2" t="str">
        <f t="shared" si="13"/>
        <v>長椅子</v>
      </c>
      <c r="E31" s="3" t="str">
        <f t="shared" si="10"/>
        <v>背なし</v>
      </c>
      <c r="F31" s="2" t="str">
        <f t="shared" si="4"/>
        <v>０００１</v>
      </c>
      <c r="G31" s="2" t="str">
        <f>"3620003125"</f>
        <v>3620003125</v>
      </c>
      <c r="H31" s="2" t="str">
        <f t="shared" si="11"/>
        <v>001</v>
      </c>
      <c r="I31" s="2" t="str">
        <f t="shared" si="6"/>
        <v>4100401</v>
      </c>
      <c r="J31" s="2">
        <f>34400</f>
        <v>34400</v>
      </c>
      <c r="K31" s="2" t="str">
        <f t="shared" si="7"/>
        <v>脚</v>
      </c>
      <c r="L31" s="2" t="str">
        <f t="shared" si="8"/>
        <v>3630331</v>
      </c>
      <c r="M31" s="2" t="str">
        <f t="shared" si="9"/>
        <v>3630331</v>
      </c>
    </row>
    <row r="32" spans="1:13" x14ac:dyDescent="0.15">
      <c r="A32" s="2" t="str">
        <f t="shared" si="0"/>
        <v>1881110500</v>
      </c>
      <c r="B32" s="2" t="str">
        <f t="shared" si="1"/>
        <v>佐伯・区政調整</v>
      </c>
      <c r="C32" s="2" t="str">
        <f t="shared" si="12"/>
        <v>01ｲ00307</v>
      </c>
      <c r="D32" s="2" t="str">
        <f t="shared" si="13"/>
        <v>長椅子</v>
      </c>
      <c r="E32" s="3" t="str">
        <f>"ライオン事務機６６ＬＣ－０３Ｓ"</f>
        <v>ライオン事務機６６ＬＣ－０３Ｓ</v>
      </c>
      <c r="F32" s="2" t="str">
        <f t="shared" si="4"/>
        <v>０００１</v>
      </c>
      <c r="G32" s="2" t="str">
        <f>"4260002649"</f>
        <v>4260002649</v>
      </c>
      <c r="H32" s="2" t="str">
        <f t="shared" si="11"/>
        <v>001</v>
      </c>
      <c r="I32" s="2" t="str">
        <f>"4260401"</f>
        <v>4260401</v>
      </c>
      <c r="J32" s="2">
        <f>53500</f>
        <v>53500</v>
      </c>
      <c r="K32" s="2" t="str">
        <f t="shared" si="7"/>
        <v>脚</v>
      </c>
      <c r="L32" s="2" t="str">
        <f>"4260401"</f>
        <v>4260401</v>
      </c>
      <c r="M32" s="2" t="str">
        <f>"4260401"</f>
        <v>4260401</v>
      </c>
    </row>
    <row r="33" spans="1:13" x14ac:dyDescent="0.15">
      <c r="A33" s="2" t="str">
        <f t="shared" si="0"/>
        <v>1881110500</v>
      </c>
      <c r="B33" s="2" t="str">
        <f t="shared" si="1"/>
        <v>佐伯・区政調整</v>
      </c>
      <c r="C33" s="2" t="str">
        <f t="shared" si="12"/>
        <v>01ｲ00307</v>
      </c>
      <c r="D33" s="2" t="str">
        <f t="shared" si="13"/>
        <v>長椅子</v>
      </c>
      <c r="E33" s="3" t="str">
        <f>"ライオン事務機６６ＬＣ－０３Ｓ"</f>
        <v>ライオン事務機６６ＬＣ－０３Ｓ</v>
      </c>
      <c r="F33" s="2" t="str">
        <f t="shared" si="4"/>
        <v>０００１</v>
      </c>
      <c r="G33" s="2" t="str">
        <f>"4260002649"</f>
        <v>4260002649</v>
      </c>
      <c r="H33" s="2" t="str">
        <f>"002"</f>
        <v>002</v>
      </c>
      <c r="I33" s="2" t="str">
        <f>"4260401"</f>
        <v>4260401</v>
      </c>
      <c r="J33" s="2">
        <f>53500</f>
        <v>53500</v>
      </c>
      <c r="K33" s="2" t="str">
        <f t="shared" si="7"/>
        <v>脚</v>
      </c>
      <c r="L33" s="2" t="str">
        <f>"4260401"</f>
        <v>4260401</v>
      </c>
      <c r="M33" s="2" t="str">
        <f>"4260401"</f>
        <v>4260401</v>
      </c>
    </row>
    <row r="34" spans="1:13" x14ac:dyDescent="0.15">
      <c r="A34" s="2" t="str">
        <f t="shared" ref="A34:A89" si="14">"1881110500"</f>
        <v>1881110500</v>
      </c>
      <c r="B34" s="2" t="str">
        <f t="shared" ref="B34:B89" si="15">"佐伯・区政調整"</f>
        <v>佐伯・区政調整</v>
      </c>
      <c r="C34" s="2" t="str">
        <f t="shared" ref="C34:C73" si="16">"01ｲ00311"</f>
        <v>01ｲ00311</v>
      </c>
      <c r="D34" s="2" t="str">
        <f t="shared" ref="D34:D73" si="17">"肘掛椅子"</f>
        <v>肘掛椅子</v>
      </c>
      <c r="E34" s="3" t="str">
        <f t="shared" ref="E34:E97" si="18">"肘付"</f>
        <v>肘付</v>
      </c>
      <c r="F34" s="2" t="str">
        <f t="shared" ref="F34:F97" si="19">"０００１"</f>
        <v>０００１</v>
      </c>
      <c r="G34" s="2" t="str">
        <f>"3620003126"</f>
        <v>3620003126</v>
      </c>
      <c r="H34" s="2" t="str">
        <f t="shared" ref="H34:H73" si="20">"001"</f>
        <v>001</v>
      </c>
      <c r="I34" s="2" t="str">
        <f t="shared" ref="I34:I97" si="21">"4100401"</f>
        <v>4100401</v>
      </c>
      <c r="J34" s="2">
        <f>31400</f>
        <v>31400</v>
      </c>
      <c r="K34" s="2" t="str">
        <f t="shared" ref="K34:K89" si="22">"脚"</f>
        <v>脚</v>
      </c>
      <c r="L34" s="2" t="str">
        <f t="shared" ref="L34:L97" si="23">"3630331"</f>
        <v>3630331</v>
      </c>
      <c r="M34" s="2" t="str">
        <f>""</f>
        <v/>
      </c>
    </row>
    <row r="35" spans="1:13" x14ac:dyDescent="0.15">
      <c r="A35" s="2" t="str">
        <f t="shared" si="14"/>
        <v>1881110500</v>
      </c>
      <c r="B35" s="2" t="str">
        <f t="shared" si="15"/>
        <v>佐伯・区政調整</v>
      </c>
      <c r="C35" s="2" t="str">
        <f t="shared" si="16"/>
        <v>01ｲ00311</v>
      </c>
      <c r="D35" s="2" t="str">
        <f t="shared" si="17"/>
        <v>肘掛椅子</v>
      </c>
      <c r="E35" s="3" t="str">
        <f t="shared" si="18"/>
        <v>肘付</v>
      </c>
      <c r="F35" s="2" t="str">
        <f t="shared" si="19"/>
        <v>０００１</v>
      </c>
      <c r="G35" s="2" t="str">
        <f>"3620003127"</f>
        <v>3620003127</v>
      </c>
      <c r="H35" s="2" t="str">
        <f t="shared" si="20"/>
        <v>001</v>
      </c>
      <c r="I35" s="2" t="str">
        <f t="shared" si="21"/>
        <v>4100401</v>
      </c>
      <c r="J35" s="2">
        <f>31400</f>
        <v>31400</v>
      </c>
      <c r="K35" s="2" t="str">
        <f t="shared" si="22"/>
        <v>脚</v>
      </c>
      <c r="L35" s="2" t="str">
        <f t="shared" si="23"/>
        <v>3630331</v>
      </c>
      <c r="M35" s="2" t="str">
        <f>""</f>
        <v/>
      </c>
    </row>
    <row r="36" spans="1:13" x14ac:dyDescent="0.15">
      <c r="A36" s="2" t="str">
        <f t="shared" si="14"/>
        <v>1881110500</v>
      </c>
      <c r="B36" s="2" t="str">
        <f t="shared" si="15"/>
        <v>佐伯・区政調整</v>
      </c>
      <c r="C36" s="2" t="str">
        <f t="shared" si="16"/>
        <v>01ｲ00311</v>
      </c>
      <c r="D36" s="2" t="str">
        <f t="shared" si="17"/>
        <v>肘掛椅子</v>
      </c>
      <c r="E36" s="3" t="str">
        <f t="shared" si="18"/>
        <v>肘付</v>
      </c>
      <c r="F36" s="2" t="str">
        <f t="shared" si="19"/>
        <v>０００１</v>
      </c>
      <c r="G36" s="2" t="str">
        <f>"3620003128"</f>
        <v>3620003128</v>
      </c>
      <c r="H36" s="2" t="str">
        <f t="shared" si="20"/>
        <v>001</v>
      </c>
      <c r="I36" s="2" t="str">
        <f t="shared" si="21"/>
        <v>4100401</v>
      </c>
      <c r="J36" s="2">
        <f>31400</f>
        <v>31400</v>
      </c>
      <c r="K36" s="2" t="str">
        <f t="shared" si="22"/>
        <v>脚</v>
      </c>
      <c r="L36" s="2" t="str">
        <f t="shared" si="23"/>
        <v>3630331</v>
      </c>
      <c r="M36" s="2" t="str">
        <f>""</f>
        <v/>
      </c>
    </row>
    <row r="37" spans="1:13" x14ac:dyDescent="0.15">
      <c r="A37" s="2" t="str">
        <f t="shared" si="14"/>
        <v>1881110500</v>
      </c>
      <c r="B37" s="2" t="str">
        <f t="shared" si="15"/>
        <v>佐伯・区政調整</v>
      </c>
      <c r="C37" s="2" t="str">
        <f t="shared" si="16"/>
        <v>01ｲ00311</v>
      </c>
      <c r="D37" s="2" t="str">
        <f t="shared" si="17"/>
        <v>肘掛椅子</v>
      </c>
      <c r="E37" s="3" t="str">
        <f t="shared" si="18"/>
        <v>肘付</v>
      </c>
      <c r="F37" s="2" t="str">
        <f t="shared" si="19"/>
        <v>０００１</v>
      </c>
      <c r="G37" s="2" t="str">
        <f>"3620003129"</f>
        <v>3620003129</v>
      </c>
      <c r="H37" s="2" t="str">
        <f t="shared" si="20"/>
        <v>001</v>
      </c>
      <c r="I37" s="2" t="str">
        <f t="shared" si="21"/>
        <v>4100401</v>
      </c>
      <c r="J37" s="2">
        <f>31400</f>
        <v>31400</v>
      </c>
      <c r="K37" s="2" t="str">
        <f t="shared" si="22"/>
        <v>脚</v>
      </c>
      <c r="L37" s="2" t="str">
        <f t="shared" si="23"/>
        <v>3630331</v>
      </c>
      <c r="M37" s="2" t="str">
        <f>""</f>
        <v/>
      </c>
    </row>
    <row r="38" spans="1:13" x14ac:dyDescent="0.15">
      <c r="A38" s="2" t="str">
        <f t="shared" si="14"/>
        <v>1881110500</v>
      </c>
      <c r="B38" s="2" t="str">
        <f t="shared" si="15"/>
        <v>佐伯・区政調整</v>
      </c>
      <c r="C38" s="2" t="str">
        <f t="shared" si="16"/>
        <v>01ｲ00311</v>
      </c>
      <c r="D38" s="2" t="str">
        <f t="shared" si="17"/>
        <v>肘掛椅子</v>
      </c>
      <c r="E38" s="3" t="str">
        <f t="shared" si="18"/>
        <v>肘付</v>
      </c>
      <c r="F38" s="2" t="str">
        <f t="shared" si="19"/>
        <v>０００１</v>
      </c>
      <c r="G38" s="2" t="str">
        <f>"3620003130"</f>
        <v>3620003130</v>
      </c>
      <c r="H38" s="2" t="str">
        <f t="shared" si="20"/>
        <v>001</v>
      </c>
      <c r="I38" s="2" t="str">
        <f t="shared" si="21"/>
        <v>4100401</v>
      </c>
      <c r="J38" s="2">
        <f>31400</f>
        <v>31400</v>
      </c>
      <c r="K38" s="2" t="str">
        <f t="shared" si="22"/>
        <v>脚</v>
      </c>
      <c r="L38" s="2" t="str">
        <f t="shared" si="23"/>
        <v>3630331</v>
      </c>
      <c r="M38" s="2" t="str">
        <f>""</f>
        <v/>
      </c>
    </row>
    <row r="39" spans="1:13" x14ac:dyDescent="0.15">
      <c r="A39" s="2" t="str">
        <f t="shared" si="14"/>
        <v>1881110500</v>
      </c>
      <c r="B39" s="2" t="str">
        <f t="shared" si="15"/>
        <v>佐伯・区政調整</v>
      </c>
      <c r="C39" s="2" t="str">
        <f t="shared" si="16"/>
        <v>01ｲ00311</v>
      </c>
      <c r="D39" s="2" t="str">
        <f t="shared" si="17"/>
        <v>肘掛椅子</v>
      </c>
      <c r="E39" s="3" t="str">
        <f t="shared" si="18"/>
        <v>肘付</v>
      </c>
      <c r="F39" s="2" t="str">
        <f t="shared" si="19"/>
        <v>０００１</v>
      </c>
      <c r="G39" s="2" t="str">
        <f>"3620003131"</f>
        <v>3620003131</v>
      </c>
      <c r="H39" s="2" t="str">
        <f t="shared" si="20"/>
        <v>001</v>
      </c>
      <c r="I39" s="2" t="str">
        <f t="shared" si="21"/>
        <v>4100401</v>
      </c>
      <c r="J39" s="2">
        <f>31400</f>
        <v>31400</v>
      </c>
      <c r="K39" s="2" t="str">
        <f t="shared" si="22"/>
        <v>脚</v>
      </c>
      <c r="L39" s="2" t="str">
        <f t="shared" si="23"/>
        <v>3630331</v>
      </c>
      <c r="M39" s="2" t="str">
        <f>""</f>
        <v/>
      </c>
    </row>
    <row r="40" spans="1:13" x14ac:dyDescent="0.15">
      <c r="A40" s="2" t="str">
        <f t="shared" si="14"/>
        <v>1881110500</v>
      </c>
      <c r="B40" s="2" t="str">
        <f t="shared" si="15"/>
        <v>佐伯・区政調整</v>
      </c>
      <c r="C40" s="2" t="str">
        <f t="shared" si="16"/>
        <v>01ｲ00311</v>
      </c>
      <c r="D40" s="2" t="str">
        <f t="shared" si="17"/>
        <v>肘掛椅子</v>
      </c>
      <c r="E40" s="3" t="str">
        <f t="shared" si="18"/>
        <v>肘付</v>
      </c>
      <c r="F40" s="2" t="str">
        <f t="shared" si="19"/>
        <v>０００１</v>
      </c>
      <c r="G40" s="2" t="str">
        <f>"3620003132"</f>
        <v>3620003132</v>
      </c>
      <c r="H40" s="2" t="str">
        <f t="shared" si="20"/>
        <v>001</v>
      </c>
      <c r="I40" s="2" t="str">
        <f t="shared" si="21"/>
        <v>4100401</v>
      </c>
      <c r="J40" s="2">
        <f>31400</f>
        <v>31400</v>
      </c>
      <c r="K40" s="2" t="str">
        <f t="shared" si="22"/>
        <v>脚</v>
      </c>
      <c r="L40" s="2" t="str">
        <f t="shared" si="23"/>
        <v>3630331</v>
      </c>
      <c r="M40" s="2" t="str">
        <f>""</f>
        <v/>
      </c>
    </row>
    <row r="41" spans="1:13" x14ac:dyDescent="0.15">
      <c r="A41" s="2" t="str">
        <f t="shared" si="14"/>
        <v>1881110500</v>
      </c>
      <c r="B41" s="2" t="str">
        <f t="shared" si="15"/>
        <v>佐伯・区政調整</v>
      </c>
      <c r="C41" s="2" t="str">
        <f t="shared" si="16"/>
        <v>01ｲ00311</v>
      </c>
      <c r="D41" s="2" t="str">
        <f t="shared" si="17"/>
        <v>肘掛椅子</v>
      </c>
      <c r="E41" s="3" t="str">
        <f t="shared" si="18"/>
        <v>肘付</v>
      </c>
      <c r="F41" s="2" t="str">
        <f t="shared" si="19"/>
        <v>０００１</v>
      </c>
      <c r="G41" s="2" t="str">
        <f>"3620003133"</f>
        <v>3620003133</v>
      </c>
      <c r="H41" s="2" t="str">
        <f t="shared" si="20"/>
        <v>001</v>
      </c>
      <c r="I41" s="2" t="str">
        <f t="shared" si="21"/>
        <v>4100401</v>
      </c>
      <c r="J41" s="2">
        <f>31400</f>
        <v>31400</v>
      </c>
      <c r="K41" s="2" t="str">
        <f t="shared" si="22"/>
        <v>脚</v>
      </c>
      <c r="L41" s="2" t="str">
        <f t="shared" si="23"/>
        <v>3630331</v>
      </c>
      <c r="M41" s="2" t="str">
        <f>""</f>
        <v/>
      </c>
    </row>
    <row r="42" spans="1:13" x14ac:dyDescent="0.15">
      <c r="A42" s="2" t="str">
        <f t="shared" si="14"/>
        <v>1881110500</v>
      </c>
      <c r="B42" s="2" t="str">
        <f t="shared" si="15"/>
        <v>佐伯・区政調整</v>
      </c>
      <c r="C42" s="2" t="str">
        <f t="shared" si="16"/>
        <v>01ｲ00311</v>
      </c>
      <c r="D42" s="2" t="str">
        <f t="shared" si="17"/>
        <v>肘掛椅子</v>
      </c>
      <c r="E42" s="3" t="str">
        <f t="shared" si="18"/>
        <v>肘付</v>
      </c>
      <c r="F42" s="2" t="str">
        <f t="shared" si="19"/>
        <v>０００１</v>
      </c>
      <c r="G42" s="2" t="str">
        <f>"3620003134"</f>
        <v>3620003134</v>
      </c>
      <c r="H42" s="2" t="str">
        <f t="shared" si="20"/>
        <v>001</v>
      </c>
      <c r="I42" s="2" t="str">
        <f t="shared" si="21"/>
        <v>4100401</v>
      </c>
      <c r="J42" s="2">
        <f>31400</f>
        <v>31400</v>
      </c>
      <c r="K42" s="2" t="str">
        <f t="shared" si="22"/>
        <v>脚</v>
      </c>
      <c r="L42" s="2" t="str">
        <f t="shared" si="23"/>
        <v>3630331</v>
      </c>
      <c r="M42" s="2" t="str">
        <f>""</f>
        <v/>
      </c>
    </row>
    <row r="43" spans="1:13" x14ac:dyDescent="0.15">
      <c r="A43" s="2" t="str">
        <f t="shared" si="14"/>
        <v>1881110500</v>
      </c>
      <c r="B43" s="2" t="str">
        <f t="shared" si="15"/>
        <v>佐伯・区政調整</v>
      </c>
      <c r="C43" s="2" t="str">
        <f t="shared" si="16"/>
        <v>01ｲ00311</v>
      </c>
      <c r="D43" s="2" t="str">
        <f t="shared" si="17"/>
        <v>肘掛椅子</v>
      </c>
      <c r="E43" s="3" t="str">
        <f t="shared" si="18"/>
        <v>肘付</v>
      </c>
      <c r="F43" s="2" t="str">
        <f t="shared" si="19"/>
        <v>０００１</v>
      </c>
      <c r="G43" s="2" t="str">
        <f>"3620003135"</f>
        <v>3620003135</v>
      </c>
      <c r="H43" s="2" t="str">
        <f t="shared" si="20"/>
        <v>001</v>
      </c>
      <c r="I43" s="2" t="str">
        <f t="shared" si="21"/>
        <v>4100401</v>
      </c>
      <c r="J43" s="2">
        <f>31400</f>
        <v>31400</v>
      </c>
      <c r="K43" s="2" t="str">
        <f t="shared" si="22"/>
        <v>脚</v>
      </c>
      <c r="L43" s="2" t="str">
        <f t="shared" si="23"/>
        <v>3630331</v>
      </c>
      <c r="M43" s="2" t="str">
        <f>""</f>
        <v/>
      </c>
    </row>
    <row r="44" spans="1:13" x14ac:dyDescent="0.15">
      <c r="A44" s="2" t="str">
        <f t="shared" si="14"/>
        <v>1881110500</v>
      </c>
      <c r="B44" s="2" t="str">
        <f t="shared" si="15"/>
        <v>佐伯・区政調整</v>
      </c>
      <c r="C44" s="2" t="str">
        <f t="shared" si="16"/>
        <v>01ｲ00311</v>
      </c>
      <c r="D44" s="2" t="str">
        <f t="shared" si="17"/>
        <v>肘掛椅子</v>
      </c>
      <c r="E44" s="3" t="str">
        <f t="shared" si="18"/>
        <v>肘付</v>
      </c>
      <c r="F44" s="2" t="str">
        <f t="shared" si="19"/>
        <v>０００１</v>
      </c>
      <c r="G44" s="2" t="str">
        <f>"3620003136"</f>
        <v>3620003136</v>
      </c>
      <c r="H44" s="2" t="str">
        <f t="shared" si="20"/>
        <v>001</v>
      </c>
      <c r="I44" s="2" t="str">
        <f t="shared" si="21"/>
        <v>4100401</v>
      </c>
      <c r="J44" s="2">
        <f>31400</f>
        <v>31400</v>
      </c>
      <c r="K44" s="2" t="str">
        <f t="shared" si="22"/>
        <v>脚</v>
      </c>
      <c r="L44" s="2" t="str">
        <f t="shared" si="23"/>
        <v>3630331</v>
      </c>
      <c r="M44" s="2" t="str">
        <f>""</f>
        <v/>
      </c>
    </row>
    <row r="45" spans="1:13" x14ac:dyDescent="0.15">
      <c r="A45" s="2" t="str">
        <f t="shared" si="14"/>
        <v>1881110500</v>
      </c>
      <c r="B45" s="2" t="str">
        <f t="shared" si="15"/>
        <v>佐伯・区政調整</v>
      </c>
      <c r="C45" s="2" t="str">
        <f t="shared" si="16"/>
        <v>01ｲ00311</v>
      </c>
      <c r="D45" s="2" t="str">
        <f t="shared" si="17"/>
        <v>肘掛椅子</v>
      </c>
      <c r="E45" s="3" t="str">
        <f t="shared" si="18"/>
        <v>肘付</v>
      </c>
      <c r="F45" s="2" t="str">
        <f t="shared" si="19"/>
        <v>０００１</v>
      </c>
      <c r="G45" s="2" t="str">
        <f>"3620003137"</f>
        <v>3620003137</v>
      </c>
      <c r="H45" s="2" t="str">
        <f t="shared" si="20"/>
        <v>001</v>
      </c>
      <c r="I45" s="2" t="str">
        <f t="shared" si="21"/>
        <v>4100401</v>
      </c>
      <c r="J45" s="2">
        <f>31400</f>
        <v>31400</v>
      </c>
      <c r="K45" s="2" t="str">
        <f t="shared" si="22"/>
        <v>脚</v>
      </c>
      <c r="L45" s="2" t="str">
        <f t="shared" si="23"/>
        <v>3630331</v>
      </c>
      <c r="M45" s="2" t="str">
        <f>""</f>
        <v/>
      </c>
    </row>
    <row r="46" spans="1:13" x14ac:dyDescent="0.15">
      <c r="A46" s="2" t="str">
        <f t="shared" si="14"/>
        <v>1881110500</v>
      </c>
      <c r="B46" s="2" t="str">
        <f t="shared" si="15"/>
        <v>佐伯・区政調整</v>
      </c>
      <c r="C46" s="2" t="str">
        <f t="shared" si="16"/>
        <v>01ｲ00311</v>
      </c>
      <c r="D46" s="2" t="str">
        <f t="shared" si="17"/>
        <v>肘掛椅子</v>
      </c>
      <c r="E46" s="3" t="str">
        <f t="shared" si="18"/>
        <v>肘付</v>
      </c>
      <c r="F46" s="2" t="str">
        <f t="shared" si="19"/>
        <v>０００１</v>
      </c>
      <c r="G46" s="2" t="str">
        <f>"3620003138"</f>
        <v>3620003138</v>
      </c>
      <c r="H46" s="2" t="str">
        <f t="shared" si="20"/>
        <v>001</v>
      </c>
      <c r="I46" s="2" t="str">
        <f t="shared" si="21"/>
        <v>4100401</v>
      </c>
      <c r="J46" s="2">
        <f>31400</f>
        <v>31400</v>
      </c>
      <c r="K46" s="2" t="str">
        <f t="shared" si="22"/>
        <v>脚</v>
      </c>
      <c r="L46" s="2" t="str">
        <f t="shared" si="23"/>
        <v>3630331</v>
      </c>
      <c r="M46" s="2" t="str">
        <f>""</f>
        <v/>
      </c>
    </row>
    <row r="47" spans="1:13" x14ac:dyDescent="0.15">
      <c r="A47" s="2" t="str">
        <f t="shared" si="14"/>
        <v>1881110500</v>
      </c>
      <c r="B47" s="2" t="str">
        <f t="shared" si="15"/>
        <v>佐伯・区政調整</v>
      </c>
      <c r="C47" s="2" t="str">
        <f t="shared" si="16"/>
        <v>01ｲ00311</v>
      </c>
      <c r="D47" s="2" t="str">
        <f t="shared" si="17"/>
        <v>肘掛椅子</v>
      </c>
      <c r="E47" s="3" t="str">
        <f t="shared" si="18"/>
        <v>肘付</v>
      </c>
      <c r="F47" s="2" t="str">
        <f t="shared" si="19"/>
        <v>０００１</v>
      </c>
      <c r="G47" s="2" t="str">
        <f>"3620003139"</f>
        <v>3620003139</v>
      </c>
      <c r="H47" s="2" t="str">
        <f t="shared" si="20"/>
        <v>001</v>
      </c>
      <c r="I47" s="2" t="str">
        <f t="shared" si="21"/>
        <v>4100401</v>
      </c>
      <c r="J47" s="2">
        <f>31400</f>
        <v>31400</v>
      </c>
      <c r="K47" s="2" t="str">
        <f t="shared" si="22"/>
        <v>脚</v>
      </c>
      <c r="L47" s="2" t="str">
        <f t="shared" si="23"/>
        <v>3630331</v>
      </c>
      <c r="M47" s="2" t="str">
        <f>""</f>
        <v/>
      </c>
    </row>
    <row r="48" spans="1:13" x14ac:dyDescent="0.15">
      <c r="A48" s="2" t="str">
        <f t="shared" si="14"/>
        <v>1881110500</v>
      </c>
      <c r="B48" s="2" t="str">
        <f t="shared" si="15"/>
        <v>佐伯・区政調整</v>
      </c>
      <c r="C48" s="2" t="str">
        <f t="shared" si="16"/>
        <v>01ｲ00311</v>
      </c>
      <c r="D48" s="2" t="str">
        <f t="shared" si="17"/>
        <v>肘掛椅子</v>
      </c>
      <c r="E48" s="3" t="str">
        <f t="shared" si="18"/>
        <v>肘付</v>
      </c>
      <c r="F48" s="2" t="str">
        <f t="shared" si="19"/>
        <v>０００１</v>
      </c>
      <c r="G48" s="2" t="str">
        <f>"3620003140"</f>
        <v>3620003140</v>
      </c>
      <c r="H48" s="2" t="str">
        <f t="shared" si="20"/>
        <v>001</v>
      </c>
      <c r="I48" s="2" t="str">
        <f t="shared" si="21"/>
        <v>4100401</v>
      </c>
      <c r="J48" s="2">
        <f>31400</f>
        <v>31400</v>
      </c>
      <c r="K48" s="2" t="str">
        <f t="shared" si="22"/>
        <v>脚</v>
      </c>
      <c r="L48" s="2" t="str">
        <f t="shared" si="23"/>
        <v>3630331</v>
      </c>
      <c r="M48" s="2" t="str">
        <f>""</f>
        <v/>
      </c>
    </row>
    <row r="49" spans="1:13" x14ac:dyDescent="0.15">
      <c r="A49" s="2" t="str">
        <f t="shared" si="14"/>
        <v>1881110500</v>
      </c>
      <c r="B49" s="2" t="str">
        <f t="shared" si="15"/>
        <v>佐伯・区政調整</v>
      </c>
      <c r="C49" s="2" t="str">
        <f t="shared" si="16"/>
        <v>01ｲ00311</v>
      </c>
      <c r="D49" s="2" t="str">
        <f t="shared" si="17"/>
        <v>肘掛椅子</v>
      </c>
      <c r="E49" s="3" t="str">
        <f t="shared" si="18"/>
        <v>肘付</v>
      </c>
      <c r="F49" s="2" t="str">
        <f t="shared" si="19"/>
        <v>０００１</v>
      </c>
      <c r="G49" s="2" t="str">
        <f>"3620003141"</f>
        <v>3620003141</v>
      </c>
      <c r="H49" s="2" t="str">
        <f t="shared" si="20"/>
        <v>001</v>
      </c>
      <c r="I49" s="2" t="str">
        <f t="shared" si="21"/>
        <v>4100401</v>
      </c>
      <c r="J49" s="2">
        <f>31400</f>
        <v>31400</v>
      </c>
      <c r="K49" s="2" t="str">
        <f t="shared" si="22"/>
        <v>脚</v>
      </c>
      <c r="L49" s="2" t="str">
        <f t="shared" si="23"/>
        <v>3630331</v>
      </c>
      <c r="M49" s="2" t="str">
        <f>""</f>
        <v/>
      </c>
    </row>
    <row r="50" spans="1:13" x14ac:dyDescent="0.15">
      <c r="A50" s="2" t="str">
        <f t="shared" si="14"/>
        <v>1881110500</v>
      </c>
      <c r="B50" s="2" t="str">
        <f t="shared" si="15"/>
        <v>佐伯・区政調整</v>
      </c>
      <c r="C50" s="2" t="str">
        <f t="shared" si="16"/>
        <v>01ｲ00311</v>
      </c>
      <c r="D50" s="2" t="str">
        <f t="shared" si="17"/>
        <v>肘掛椅子</v>
      </c>
      <c r="E50" s="3" t="str">
        <f t="shared" si="18"/>
        <v>肘付</v>
      </c>
      <c r="F50" s="2" t="str">
        <f t="shared" si="19"/>
        <v>０００１</v>
      </c>
      <c r="G50" s="2" t="str">
        <f>"3620003142"</f>
        <v>3620003142</v>
      </c>
      <c r="H50" s="2" t="str">
        <f t="shared" si="20"/>
        <v>001</v>
      </c>
      <c r="I50" s="2" t="str">
        <f t="shared" si="21"/>
        <v>4100401</v>
      </c>
      <c r="J50" s="2">
        <f>31400</f>
        <v>31400</v>
      </c>
      <c r="K50" s="2" t="str">
        <f t="shared" si="22"/>
        <v>脚</v>
      </c>
      <c r="L50" s="2" t="str">
        <f t="shared" si="23"/>
        <v>3630331</v>
      </c>
      <c r="M50" s="2" t="str">
        <f>""</f>
        <v/>
      </c>
    </row>
    <row r="51" spans="1:13" x14ac:dyDescent="0.15">
      <c r="A51" s="2" t="str">
        <f t="shared" si="14"/>
        <v>1881110500</v>
      </c>
      <c r="B51" s="2" t="str">
        <f t="shared" si="15"/>
        <v>佐伯・区政調整</v>
      </c>
      <c r="C51" s="2" t="str">
        <f t="shared" si="16"/>
        <v>01ｲ00311</v>
      </c>
      <c r="D51" s="2" t="str">
        <f t="shared" si="17"/>
        <v>肘掛椅子</v>
      </c>
      <c r="E51" s="3" t="str">
        <f t="shared" si="18"/>
        <v>肘付</v>
      </c>
      <c r="F51" s="2" t="str">
        <f t="shared" si="19"/>
        <v>０００１</v>
      </c>
      <c r="G51" s="2" t="str">
        <f>"3620003143"</f>
        <v>3620003143</v>
      </c>
      <c r="H51" s="2" t="str">
        <f t="shared" si="20"/>
        <v>001</v>
      </c>
      <c r="I51" s="2" t="str">
        <f t="shared" si="21"/>
        <v>4100401</v>
      </c>
      <c r="J51" s="2">
        <f>31400</f>
        <v>31400</v>
      </c>
      <c r="K51" s="2" t="str">
        <f t="shared" si="22"/>
        <v>脚</v>
      </c>
      <c r="L51" s="2" t="str">
        <f t="shared" si="23"/>
        <v>3630331</v>
      </c>
      <c r="M51" s="2" t="str">
        <f>""</f>
        <v/>
      </c>
    </row>
    <row r="52" spans="1:13" x14ac:dyDescent="0.15">
      <c r="A52" s="2" t="str">
        <f t="shared" si="14"/>
        <v>1881110500</v>
      </c>
      <c r="B52" s="2" t="str">
        <f t="shared" si="15"/>
        <v>佐伯・区政調整</v>
      </c>
      <c r="C52" s="2" t="str">
        <f t="shared" si="16"/>
        <v>01ｲ00311</v>
      </c>
      <c r="D52" s="2" t="str">
        <f t="shared" si="17"/>
        <v>肘掛椅子</v>
      </c>
      <c r="E52" s="3" t="str">
        <f t="shared" si="18"/>
        <v>肘付</v>
      </c>
      <c r="F52" s="2" t="str">
        <f t="shared" si="19"/>
        <v>０００１</v>
      </c>
      <c r="G52" s="2" t="str">
        <f>"3620003144"</f>
        <v>3620003144</v>
      </c>
      <c r="H52" s="2" t="str">
        <f t="shared" si="20"/>
        <v>001</v>
      </c>
      <c r="I52" s="2" t="str">
        <f t="shared" si="21"/>
        <v>4100401</v>
      </c>
      <c r="J52" s="2">
        <f>31400</f>
        <v>31400</v>
      </c>
      <c r="K52" s="2" t="str">
        <f t="shared" si="22"/>
        <v>脚</v>
      </c>
      <c r="L52" s="2" t="str">
        <f t="shared" si="23"/>
        <v>3630331</v>
      </c>
      <c r="M52" s="2" t="str">
        <f>""</f>
        <v/>
      </c>
    </row>
    <row r="53" spans="1:13" x14ac:dyDescent="0.15">
      <c r="A53" s="2" t="str">
        <f t="shared" si="14"/>
        <v>1881110500</v>
      </c>
      <c r="B53" s="2" t="str">
        <f t="shared" si="15"/>
        <v>佐伯・区政調整</v>
      </c>
      <c r="C53" s="2" t="str">
        <f t="shared" si="16"/>
        <v>01ｲ00311</v>
      </c>
      <c r="D53" s="2" t="str">
        <f t="shared" si="17"/>
        <v>肘掛椅子</v>
      </c>
      <c r="E53" s="3" t="str">
        <f t="shared" si="18"/>
        <v>肘付</v>
      </c>
      <c r="F53" s="2" t="str">
        <f t="shared" si="19"/>
        <v>０００１</v>
      </c>
      <c r="G53" s="2" t="str">
        <f>"3620003145"</f>
        <v>3620003145</v>
      </c>
      <c r="H53" s="2" t="str">
        <f t="shared" si="20"/>
        <v>001</v>
      </c>
      <c r="I53" s="2" t="str">
        <f t="shared" si="21"/>
        <v>4100401</v>
      </c>
      <c r="J53" s="2">
        <f>31400</f>
        <v>31400</v>
      </c>
      <c r="K53" s="2" t="str">
        <f t="shared" si="22"/>
        <v>脚</v>
      </c>
      <c r="L53" s="2" t="str">
        <f t="shared" si="23"/>
        <v>3630331</v>
      </c>
      <c r="M53" s="2" t="str">
        <f>""</f>
        <v/>
      </c>
    </row>
    <row r="54" spans="1:13" x14ac:dyDescent="0.15">
      <c r="A54" s="2" t="str">
        <f t="shared" si="14"/>
        <v>1881110500</v>
      </c>
      <c r="B54" s="2" t="str">
        <f t="shared" si="15"/>
        <v>佐伯・区政調整</v>
      </c>
      <c r="C54" s="2" t="str">
        <f t="shared" si="16"/>
        <v>01ｲ00311</v>
      </c>
      <c r="D54" s="2" t="str">
        <f t="shared" si="17"/>
        <v>肘掛椅子</v>
      </c>
      <c r="E54" s="3" t="str">
        <f t="shared" si="18"/>
        <v>肘付</v>
      </c>
      <c r="F54" s="2" t="str">
        <f t="shared" si="19"/>
        <v>０００１</v>
      </c>
      <c r="G54" s="2" t="str">
        <f>"3620003146"</f>
        <v>3620003146</v>
      </c>
      <c r="H54" s="2" t="str">
        <f t="shared" si="20"/>
        <v>001</v>
      </c>
      <c r="I54" s="2" t="str">
        <f t="shared" si="21"/>
        <v>4100401</v>
      </c>
      <c r="J54" s="2">
        <f>31400</f>
        <v>31400</v>
      </c>
      <c r="K54" s="2" t="str">
        <f t="shared" si="22"/>
        <v>脚</v>
      </c>
      <c r="L54" s="2" t="str">
        <f t="shared" si="23"/>
        <v>3630331</v>
      </c>
      <c r="M54" s="2" t="str">
        <f>""</f>
        <v/>
      </c>
    </row>
    <row r="55" spans="1:13" x14ac:dyDescent="0.15">
      <c r="A55" s="2" t="str">
        <f t="shared" si="14"/>
        <v>1881110500</v>
      </c>
      <c r="B55" s="2" t="str">
        <f t="shared" si="15"/>
        <v>佐伯・区政調整</v>
      </c>
      <c r="C55" s="2" t="str">
        <f t="shared" si="16"/>
        <v>01ｲ00311</v>
      </c>
      <c r="D55" s="2" t="str">
        <f t="shared" si="17"/>
        <v>肘掛椅子</v>
      </c>
      <c r="E55" s="3" t="str">
        <f t="shared" si="18"/>
        <v>肘付</v>
      </c>
      <c r="F55" s="2" t="str">
        <f t="shared" si="19"/>
        <v>０００１</v>
      </c>
      <c r="G55" s="2" t="str">
        <f>"3620003147"</f>
        <v>3620003147</v>
      </c>
      <c r="H55" s="2" t="str">
        <f t="shared" si="20"/>
        <v>001</v>
      </c>
      <c r="I55" s="2" t="str">
        <f t="shared" si="21"/>
        <v>4100401</v>
      </c>
      <c r="J55" s="2">
        <f>31400</f>
        <v>31400</v>
      </c>
      <c r="K55" s="2" t="str">
        <f t="shared" si="22"/>
        <v>脚</v>
      </c>
      <c r="L55" s="2" t="str">
        <f t="shared" si="23"/>
        <v>3630331</v>
      </c>
      <c r="M55" s="2" t="str">
        <f>""</f>
        <v/>
      </c>
    </row>
    <row r="56" spans="1:13" x14ac:dyDescent="0.15">
      <c r="A56" s="2" t="str">
        <f t="shared" si="14"/>
        <v>1881110500</v>
      </c>
      <c r="B56" s="2" t="str">
        <f t="shared" si="15"/>
        <v>佐伯・区政調整</v>
      </c>
      <c r="C56" s="2" t="str">
        <f t="shared" si="16"/>
        <v>01ｲ00311</v>
      </c>
      <c r="D56" s="2" t="str">
        <f t="shared" si="17"/>
        <v>肘掛椅子</v>
      </c>
      <c r="E56" s="3" t="str">
        <f t="shared" si="18"/>
        <v>肘付</v>
      </c>
      <c r="F56" s="2" t="str">
        <f t="shared" si="19"/>
        <v>０００１</v>
      </c>
      <c r="G56" s="2" t="str">
        <f>"3620003148"</f>
        <v>3620003148</v>
      </c>
      <c r="H56" s="2" t="str">
        <f t="shared" si="20"/>
        <v>001</v>
      </c>
      <c r="I56" s="2" t="str">
        <f t="shared" si="21"/>
        <v>4100401</v>
      </c>
      <c r="J56" s="2">
        <f>31400</f>
        <v>31400</v>
      </c>
      <c r="K56" s="2" t="str">
        <f t="shared" si="22"/>
        <v>脚</v>
      </c>
      <c r="L56" s="2" t="str">
        <f t="shared" si="23"/>
        <v>3630331</v>
      </c>
      <c r="M56" s="2" t="str">
        <f>""</f>
        <v/>
      </c>
    </row>
    <row r="57" spans="1:13" x14ac:dyDescent="0.15">
      <c r="A57" s="2" t="str">
        <f t="shared" si="14"/>
        <v>1881110500</v>
      </c>
      <c r="B57" s="2" t="str">
        <f t="shared" si="15"/>
        <v>佐伯・区政調整</v>
      </c>
      <c r="C57" s="2" t="str">
        <f t="shared" si="16"/>
        <v>01ｲ00311</v>
      </c>
      <c r="D57" s="2" t="str">
        <f t="shared" si="17"/>
        <v>肘掛椅子</v>
      </c>
      <c r="E57" s="3" t="str">
        <f t="shared" si="18"/>
        <v>肘付</v>
      </c>
      <c r="F57" s="2" t="str">
        <f t="shared" si="19"/>
        <v>０００１</v>
      </c>
      <c r="G57" s="2" t="str">
        <f>"3620003149"</f>
        <v>3620003149</v>
      </c>
      <c r="H57" s="2" t="str">
        <f t="shared" si="20"/>
        <v>001</v>
      </c>
      <c r="I57" s="2" t="str">
        <f t="shared" si="21"/>
        <v>4100401</v>
      </c>
      <c r="J57" s="2">
        <f>31400</f>
        <v>31400</v>
      </c>
      <c r="K57" s="2" t="str">
        <f t="shared" si="22"/>
        <v>脚</v>
      </c>
      <c r="L57" s="2" t="str">
        <f t="shared" si="23"/>
        <v>3630331</v>
      </c>
      <c r="M57" s="2" t="str">
        <f>""</f>
        <v/>
      </c>
    </row>
    <row r="58" spans="1:13" x14ac:dyDescent="0.15">
      <c r="A58" s="2" t="str">
        <f t="shared" si="14"/>
        <v>1881110500</v>
      </c>
      <c r="B58" s="2" t="str">
        <f t="shared" si="15"/>
        <v>佐伯・区政調整</v>
      </c>
      <c r="C58" s="2" t="str">
        <f t="shared" si="16"/>
        <v>01ｲ00311</v>
      </c>
      <c r="D58" s="2" t="str">
        <f t="shared" si="17"/>
        <v>肘掛椅子</v>
      </c>
      <c r="E58" s="3" t="str">
        <f t="shared" si="18"/>
        <v>肘付</v>
      </c>
      <c r="F58" s="2" t="str">
        <f t="shared" si="19"/>
        <v>０００１</v>
      </c>
      <c r="G58" s="2" t="str">
        <f>"3620003150"</f>
        <v>3620003150</v>
      </c>
      <c r="H58" s="2" t="str">
        <f t="shared" si="20"/>
        <v>001</v>
      </c>
      <c r="I58" s="2" t="str">
        <f t="shared" si="21"/>
        <v>4100401</v>
      </c>
      <c r="J58" s="2">
        <f>31400</f>
        <v>31400</v>
      </c>
      <c r="K58" s="2" t="str">
        <f t="shared" si="22"/>
        <v>脚</v>
      </c>
      <c r="L58" s="2" t="str">
        <f t="shared" si="23"/>
        <v>3630331</v>
      </c>
      <c r="M58" s="2" t="str">
        <f>""</f>
        <v/>
      </c>
    </row>
    <row r="59" spans="1:13" x14ac:dyDescent="0.15">
      <c r="A59" s="2" t="str">
        <f t="shared" si="14"/>
        <v>1881110500</v>
      </c>
      <c r="B59" s="2" t="str">
        <f t="shared" si="15"/>
        <v>佐伯・区政調整</v>
      </c>
      <c r="C59" s="2" t="str">
        <f t="shared" si="16"/>
        <v>01ｲ00311</v>
      </c>
      <c r="D59" s="2" t="str">
        <f t="shared" si="17"/>
        <v>肘掛椅子</v>
      </c>
      <c r="E59" s="3" t="str">
        <f t="shared" si="18"/>
        <v>肘付</v>
      </c>
      <c r="F59" s="2" t="str">
        <f t="shared" si="19"/>
        <v>０００１</v>
      </c>
      <c r="G59" s="2" t="str">
        <f>"3620003151"</f>
        <v>3620003151</v>
      </c>
      <c r="H59" s="2" t="str">
        <f t="shared" si="20"/>
        <v>001</v>
      </c>
      <c r="I59" s="2" t="str">
        <f t="shared" si="21"/>
        <v>4100401</v>
      </c>
      <c r="J59" s="2">
        <f>31400</f>
        <v>31400</v>
      </c>
      <c r="K59" s="2" t="str">
        <f t="shared" si="22"/>
        <v>脚</v>
      </c>
      <c r="L59" s="2" t="str">
        <f t="shared" si="23"/>
        <v>3630331</v>
      </c>
      <c r="M59" s="2" t="str">
        <f>""</f>
        <v/>
      </c>
    </row>
    <row r="60" spans="1:13" x14ac:dyDescent="0.15">
      <c r="A60" s="2" t="str">
        <f t="shared" si="14"/>
        <v>1881110500</v>
      </c>
      <c r="B60" s="2" t="str">
        <f t="shared" si="15"/>
        <v>佐伯・区政調整</v>
      </c>
      <c r="C60" s="2" t="str">
        <f t="shared" si="16"/>
        <v>01ｲ00311</v>
      </c>
      <c r="D60" s="2" t="str">
        <f t="shared" si="17"/>
        <v>肘掛椅子</v>
      </c>
      <c r="E60" s="3" t="str">
        <f t="shared" si="18"/>
        <v>肘付</v>
      </c>
      <c r="F60" s="2" t="str">
        <f t="shared" si="19"/>
        <v>０００１</v>
      </c>
      <c r="G60" s="2" t="str">
        <f>"3620003152"</f>
        <v>3620003152</v>
      </c>
      <c r="H60" s="2" t="str">
        <f t="shared" si="20"/>
        <v>001</v>
      </c>
      <c r="I60" s="2" t="str">
        <f t="shared" si="21"/>
        <v>4100401</v>
      </c>
      <c r="J60" s="2">
        <f>31400</f>
        <v>31400</v>
      </c>
      <c r="K60" s="2" t="str">
        <f t="shared" si="22"/>
        <v>脚</v>
      </c>
      <c r="L60" s="2" t="str">
        <f t="shared" si="23"/>
        <v>3630331</v>
      </c>
      <c r="M60" s="2" t="str">
        <f>""</f>
        <v/>
      </c>
    </row>
    <row r="61" spans="1:13" x14ac:dyDescent="0.15">
      <c r="A61" s="2" t="str">
        <f t="shared" si="14"/>
        <v>1881110500</v>
      </c>
      <c r="B61" s="2" t="str">
        <f t="shared" si="15"/>
        <v>佐伯・区政調整</v>
      </c>
      <c r="C61" s="2" t="str">
        <f t="shared" si="16"/>
        <v>01ｲ00311</v>
      </c>
      <c r="D61" s="2" t="str">
        <f t="shared" si="17"/>
        <v>肘掛椅子</v>
      </c>
      <c r="E61" s="3" t="str">
        <f t="shared" si="18"/>
        <v>肘付</v>
      </c>
      <c r="F61" s="2" t="str">
        <f t="shared" si="19"/>
        <v>０００１</v>
      </c>
      <c r="G61" s="2" t="str">
        <f>"3620003153"</f>
        <v>3620003153</v>
      </c>
      <c r="H61" s="2" t="str">
        <f t="shared" si="20"/>
        <v>001</v>
      </c>
      <c r="I61" s="2" t="str">
        <f t="shared" si="21"/>
        <v>4100401</v>
      </c>
      <c r="J61" s="2">
        <f>31400</f>
        <v>31400</v>
      </c>
      <c r="K61" s="2" t="str">
        <f t="shared" si="22"/>
        <v>脚</v>
      </c>
      <c r="L61" s="2" t="str">
        <f t="shared" si="23"/>
        <v>3630331</v>
      </c>
      <c r="M61" s="2" t="str">
        <f>""</f>
        <v/>
      </c>
    </row>
    <row r="62" spans="1:13" x14ac:dyDescent="0.15">
      <c r="A62" s="2" t="str">
        <f t="shared" si="14"/>
        <v>1881110500</v>
      </c>
      <c r="B62" s="2" t="str">
        <f t="shared" si="15"/>
        <v>佐伯・区政調整</v>
      </c>
      <c r="C62" s="2" t="str">
        <f t="shared" si="16"/>
        <v>01ｲ00311</v>
      </c>
      <c r="D62" s="2" t="str">
        <f t="shared" si="17"/>
        <v>肘掛椅子</v>
      </c>
      <c r="E62" s="3" t="str">
        <f t="shared" si="18"/>
        <v>肘付</v>
      </c>
      <c r="F62" s="2" t="str">
        <f t="shared" si="19"/>
        <v>０００１</v>
      </c>
      <c r="G62" s="2" t="str">
        <f>"3620003154"</f>
        <v>3620003154</v>
      </c>
      <c r="H62" s="2" t="str">
        <f t="shared" si="20"/>
        <v>001</v>
      </c>
      <c r="I62" s="2" t="str">
        <f t="shared" si="21"/>
        <v>4100401</v>
      </c>
      <c r="J62" s="2">
        <f>31400</f>
        <v>31400</v>
      </c>
      <c r="K62" s="2" t="str">
        <f t="shared" si="22"/>
        <v>脚</v>
      </c>
      <c r="L62" s="2" t="str">
        <f t="shared" si="23"/>
        <v>3630331</v>
      </c>
      <c r="M62" s="2" t="str">
        <f>""</f>
        <v/>
      </c>
    </row>
    <row r="63" spans="1:13" x14ac:dyDescent="0.15">
      <c r="A63" s="2" t="str">
        <f t="shared" si="14"/>
        <v>1881110500</v>
      </c>
      <c r="B63" s="2" t="str">
        <f t="shared" si="15"/>
        <v>佐伯・区政調整</v>
      </c>
      <c r="C63" s="2" t="str">
        <f t="shared" si="16"/>
        <v>01ｲ00311</v>
      </c>
      <c r="D63" s="2" t="str">
        <f t="shared" si="17"/>
        <v>肘掛椅子</v>
      </c>
      <c r="E63" s="3" t="str">
        <f t="shared" si="18"/>
        <v>肘付</v>
      </c>
      <c r="F63" s="2" t="str">
        <f t="shared" si="19"/>
        <v>０００１</v>
      </c>
      <c r="G63" s="2" t="str">
        <f>"3620003155"</f>
        <v>3620003155</v>
      </c>
      <c r="H63" s="2" t="str">
        <f t="shared" si="20"/>
        <v>001</v>
      </c>
      <c r="I63" s="2" t="str">
        <f t="shared" si="21"/>
        <v>4100401</v>
      </c>
      <c r="J63" s="2">
        <f>31400</f>
        <v>31400</v>
      </c>
      <c r="K63" s="2" t="str">
        <f t="shared" si="22"/>
        <v>脚</v>
      </c>
      <c r="L63" s="2" t="str">
        <f t="shared" si="23"/>
        <v>3630331</v>
      </c>
      <c r="M63" s="2" t="str">
        <f>""</f>
        <v/>
      </c>
    </row>
    <row r="64" spans="1:13" x14ac:dyDescent="0.15">
      <c r="A64" s="2" t="str">
        <f t="shared" si="14"/>
        <v>1881110500</v>
      </c>
      <c r="B64" s="2" t="str">
        <f t="shared" si="15"/>
        <v>佐伯・区政調整</v>
      </c>
      <c r="C64" s="2" t="str">
        <f t="shared" si="16"/>
        <v>01ｲ00311</v>
      </c>
      <c r="D64" s="2" t="str">
        <f t="shared" si="17"/>
        <v>肘掛椅子</v>
      </c>
      <c r="E64" s="3" t="str">
        <f t="shared" si="18"/>
        <v>肘付</v>
      </c>
      <c r="F64" s="2" t="str">
        <f t="shared" si="19"/>
        <v>０００１</v>
      </c>
      <c r="G64" s="2" t="str">
        <f>"3620003156"</f>
        <v>3620003156</v>
      </c>
      <c r="H64" s="2" t="str">
        <f t="shared" si="20"/>
        <v>001</v>
      </c>
      <c r="I64" s="2" t="str">
        <f t="shared" si="21"/>
        <v>4100401</v>
      </c>
      <c r="J64" s="2">
        <f>31400</f>
        <v>31400</v>
      </c>
      <c r="K64" s="2" t="str">
        <f t="shared" si="22"/>
        <v>脚</v>
      </c>
      <c r="L64" s="2" t="str">
        <f t="shared" si="23"/>
        <v>3630331</v>
      </c>
      <c r="M64" s="2" t="str">
        <f>""</f>
        <v/>
      </c>
    </row>
    <row r="65" spans="1:13" x14ac:dyDescent="0.15">
      <c r="A65" s="2" t="str">
        <f t="shared" si="14"/>
        <v>1881110500</v>
      </c>
      <c r="B65" s="2" t="str">
        <f t="shared" si="15"/>
        <v>佐伯・区政調整</v>
      </c>
      <c r="C65" s="2" t="str">
        <f t="shared" si="16"/>
        <v>01ｲ00311</v>
      </c>
      <c r="D65" s="2" t="str">
        <f t="shared" si="17"/>
        <v>肘掛椅子</v>
      </c>
      <c r="E65" s="3" t="str">
        <f t="shared" si="18"/>
        <v>肘付</v>
      </c>
      <c r="F65" s="2" t="str">
        <f t="shared" si="19"/>
        <v>０００１</v>
      </c>
      <c r="G65" s="2" t="str">
        <f>"3620003157"</f>
        <v>3620003157</v>
      </c>
      <c r="H65" s="2" t="str">
        <f t="shared" si="20"/>
        <v>001</v>
      </c>
      <c r="I65" s="2" t="str">
        <f t="shared" si="21"/>
        <v>4100401</v>
      </c>
      <c r="J65" s="2">
        <f>31400</f>
        <v>31400</v>
      </c>
      <c r="K65" s="2" t="str">
        <f t="shared" si="22"/>
        <v>脚</v>
      </c>
      <c r="L65" s="2" t="str">
        <f t="shared" si="23"/>
        <v>3630331</v>
      </c>
      <c r="M65" s="2" t="str">
        <f>""</f>
        <v/>
      </c>
    </row>
    <row r="66" spans="1:13" x14ac:dyDescent="0.15">
      <c r="A66" s="2" t="str">
        <f t="shared" si="14"/>
        <v>1881110500</v>
      </c>
      <c r="B66" s="2" t="str">
        <f t="shared" si="15"/>
        <v>佐伯・区政調整</v>
      </c>
      <c r="C66" s="2" t="str">
        <f t="shared" si="16"/>
        <v>01ｲ00311</v>
      </c>
      <c r="D66" s="2" t="str">
        <f t="shared" si="17"/>
        <v>肘掛椅子</v>
      </c>
      <c r="E66" s="3" t="str">
        <f t="shared" si="18"/>
        <v>肘付</v>
      </c>
      <c r="F66" s="2" t="str">
        <f t="shared" si="19"/>
        <v>０００１</v>
      </c>
      <c r="G66" s="2" t="str">
        <f>"3620003158"</f>
        <v>3620003158</v>
      </c>
      <c r="H66" s="2" t="str">
        <f t="shared" si="20"/>
        <v>001</v>
      </c>
      <c r="I66" s="2" t="str">
        <f t="shared" si="21"/>
        <v>4100401</v>
      </c>
      <c r="J66" s="2">
        <f>31400</f>
        <v>31400</v>
      </c>
      <c r="K66" s="2" t="str">
        <f t="shared" si="22"/>
        <v>脚</v>
      </c>
      <c r="L66" s="2" t="str">
        <f t="shared" si="23"/>
        <v>3630331</v>
      </c>
      <c r="M66" s="2" t="str">
        <f>""</f>
        <v/>
      </c>
    </row>
    <row r="67" spans="1:13" x14ac:dyDescent="0.15">
      <c r="A67" s="2" t="str">
        <f t="shared" si="14"/>
        <v>1881110500</v>
      </c>
      <c r="B67" s="2" t="str">
        <f t="shared" si="15"/>
        <v>佐伯・区政調整</v>
      </c>
      <c r="C67" s="2" t="str">
        <f t="shared" si="16"/>
        <v>01ｲ00311</v>
      </c>
      <c r="D67" s="2" t="str">
        <f t="shared" si="17"/>
        <v>肘掛椅子</v>
      </c>
      <c r="E67" s="3" t="str">
        <f t="shared" si="18"/>
        <v>肘付</v>
      </c>
      <c r="F67" s="2" t="str">
        <f t="shared" si="19"/>
        <v>０００１</v>
      </c>
      <c r="G67" s="2" t="str">
        <f>"3620003159"</f>
        <v>3620003159</v>
      </c>
      <c r="H67" s="2" t="str">
        <f t="shared" si="20"/>
        <v>001</v>
      </c>
      <c r="I67" s="2" t="str">
        <f t="shared" si="21"/>
        <v>4100401</v>
      </c>
      <c r="J67" s="2">
        <f>31400</f>
        <v>31400</v>
      </c>
      <c r="K67" s="2" t="str">
        <f t="shared" si="22"/>
        <v>脚</v>
      </c>
      <c r="L67" s="2" t="str">
        <f t="shared" si="23"/>
        <v>3630331</v>
      </c>
      <c r="M67" s="2" t="str">
        <f>""</f>
        <v/>
      </c>
    </row>
    <row r="68" spans="1:13" x14ac:dyDescent="0.15">
      <c r="A68" s="2" t="str">
        <f t="shared" si="14"/>
        <v>1881110500</v>
      </c>
      <c r="B68" s="2" t="str">
        <f t="shared" si="15"/>
        <v>佐伯・区政調整</v>
      </c>
      <c r="C68" s="2" t="str">
        <f t="shared" si="16"/>
        <v>01ｲ00311</v>
      </c>
      <c r="D68" s="2" t="str">
        <f t="shared" si="17"/>
        <v>肘掛椅子</v>
      </c>
      <c r="E68" s="3" t="str">
        <f t="shared" si="18"/>
        <v>肘付</v>
      </c>
      <c r="F68" s="2" t="str">
        <f t="shared" si="19"/>
        <v>０００１</v>
      </c>
      <c r="G68" s="2" t="str">
        <f>"3620003160"</f>
        <v>3620003160</v>
      </c>
      <c r="H68" s="2" t="str">
        <f t="shared" si="20"/>
        <v>001</v>
      </c>
      <c r="I68" s="2" t="str">
        <f t="shared" si="21"/>
        <v>4100401</v>
      </c>
      <c r="J68" s="2">
        <f>31400</f>
        <v>31400</v>
      </c>
      <c r="K68" s="2" t="str">
        <f t="shared" si="22"/>
        <v>脚</v>
      </c>
      <c r="L68" s="2" t="str">
        <f t="shared" si="23"/>
        <v>3630331</v>
      </c>
      <c r="M68" s="2" t="str">
        <f>""</f>
        <v/>
      </c>
    </row>
    <row r="69" spans="1:13" x14ac:dyDescent="0.15">
      <c r="A69" s="2" t="str">
        <f t="shared" si="14"/>
        <v>1881110500</v>
      </c>
      <c r="B69" s="2" t="str">
        <f t="shared" si="15"/>
        <v>佐伯・区政調整</v>
      </c>
      <c r="C69" s="2" t="str">
        <f t="shared" si="16"/>
        <v>01ｲ00311</v>
      </c>
      <c r="D69" s="2" t="str">
        <f t="shared" si="17"/>
        <v>肘掛椅子</v>
      </c>
      <c r="E69" s="3" t="str">
        <f t="shared" si="18"/>
        <v>肘付</v>
      </c>
      <c r="F69" s="2" t="str">
        <f t="shared" si="19"/>
        <v>０００１</v>
      </c>
      <c r="G69" s="2" t="str">
        <f>"3620003161"</f>
        <v>3620003161</v>
      </c>
      <c r="H69" s="2" t="str">
        <f t="shared" si="20"/>
        <v>001</v>
      </c>
      <c r="I69" s="2" t="str">
        <f t="shared" si="21"/>
        <v>4100401</v>
      </c>
      <c r="J69" s="2">
        <f>31400</f>
        <v>31400</v>
      </c>
      <c r="K69" s="2" t="str">
        <f t="shared" si="22"/>
        <v>脚</v>
      </c>
      <c r="L69" s="2" t="str">
        <f t="shared" si="23"/>
        <v>3630331</v>
      </c>
      <c r="M69" s="2" t="str">
        <f>""</f>
        <v/>
      </c>
    </row>
    <row r="70" spans="1:13" x14ac:dyDescent="0.15">
      <c r="A70" s="2" t="str">
        <f t="shared" si="14"/>
        <v>1881110500</v>
      </c>
      <c r="B70" s="2" t="str">
        <f t="shared" si="15"/>
        <v>佐伯・区政調整</v>
      </c>
      <c r="C70" s="2" t="str">
        <f t="shared" si="16"/>
        <v>01ｲ00311</v>
      </c>
      <c r="D70" s="2" t="str">
        <f t="shared" si="17"/>
        <v>肘掛椅子</v>
      </c>
      <c r="E70" s="3" t="str">
        <f t="shared" si="18"/>
        <v>肘付</v>
      </c>
      <c r="F70" s="2" t="str">
        <f t="shared" si="19"/>
        <v>０００１</v>
      </c>
      <c r="G70" s="2" t="str">
        <f>"3620003162"</f>
        <v>3620003162</v>
      </c>
      <c r="H70" s="2" t="str">
        <f t="shared" si="20"/>
        <v>001</v>
      </c>
      <c r="I70" s="2" t="str">
        <f t="shared" si="21"/>
        <v>4100401</v>
      </c>
      <c r="J70" s="2">
        <f>31400</f>
        <v>31400</v>
      </c>
      <c r="K70" s="2" t="str">
        <f t="shared" si="22"/>
        <v>脚</v>
      </c>
      <c r="L70" s="2" t="str">
        <f t="shared" si="23"/>
        <v>3630331</v>
      </c>
      <c r="M70" s="2" t="str">
        <f>""</f>
        <v/>
      </c>
    </row>
    <row r="71" spans="1:13" x14ac:dyDescent="0.15">
      <c r="A71" s="2" t="str">
        <f t="shared" si="14"/>
        <v>1881110500</v>
      </c>
      <c r="B71" s="2" t="str">
        <f t="shared" si="15"/>
        <v>佐伯・区政調整</v>
      </c>
      <c r="C71" s="2" t="str">
        <f t="shared" si="16"/>
        <v>01ｲ00311</v>
      </c>
      <c r="D71" s="2" t="str">
        <f t="shared" si="17"/>
        <v>肘掛椅子</v>
      </c>
      <c r="E71" s="3" t="str">
        <f t="shared" si="18"/>
        <v>肘付</v>
      </c>
      <c r="F71" s="2" t="str">
        <f t="shared" si="19"/>
        <v>０００１</v>
      </c>
      <c r="G71" s="2" t="str">
        <f>"3620003163"</f>
        <v>3620003163</v>
      </c>
      <c r="H71" s="2" t="str">
        <f t="shared" si="20"/>
        <v>001</v>
      </c>
      <c r="I71" s="2" t="str">
        <f t="shared" si="21"/>
        <v>4100401</v>
      </c>
      <c r="J71" s="2">
        <f>31400</f>
        <v>31400</v>
      </c>
      <c r="K71" s="2" t="str">
        <f t="shared" si="22"/>
        <v>脚</v>
      </c>
      <c r="L71" s="2" t="str">
        <f t="shared" si="23"/>
        <v>3630331</v>
      </c>
      <c r="M71" s="2" t="str">
        <f>""</f>
        <v/>
      </c>
    </row>
    <row r="72" spans="1:13" x14ac:dyDescent="0.15">
      <c r="A72" s="2" t="str">
        <f t="shared" si="14"/>
        <v>1881110500</v>
      </c>
      <c r="B72" s="2" t="str">
        <f t="shared" si="15"/>
        <v>佐伯・区政調整</v>
      </c>
      <c r="C72" s="2" t="str">
        <f t="shared" si="16"/>
        <v>01ｲ00311</v>
      </c>
      <c r="D72" s="2" t="str">
        <f t="shared" si="17"/>
        <v>肘掛椅子</v>
      </c>
      <c r="E72" s="3" t="str">
        <f t="shared" si="18"/>
        <v>肘付</v>
      </c>
      <c r="F72" s="2" t="str">
        <f t="shared" si="19"/>
        <v>０００１</v>
      </c>
      <c r="G72" s="2" t="str">
        <f>"3620003164"</f>
        <v>3620003164</v>
      </c>
      <c r="H72" s="2" t="str">
        <f t="shared" si="20"/>
        <v>001</v>
      </c>
      <c r="I72" s="2" t="str">
        <f t="shared" si="21"/>
        <v>4100401</v>
      </c>
      <c r="J72" s="2">
        <f>31400</f>
        <v>31400</v>
      </c>
      <c r="K72" s="2" t="str">
        <f t="shared" si="22"/>
        <v>脚</v>
      </c>
      <c r="L72" s="2" t="str">
        <f t="shared" si="23"/>
        <v>3630331</v>
      </c>
      <c r="M72" s="2" t="str">
        <f>""</f>
        <v/>
      </c>
    </row>
    <row r="73" spans="1:13" x14ac:dyDescent="0.15">
      <c r="A73" s="2" t="str">
        <f t="shared" si="14"/>
        <v>1881110500</v>
      </c>
      <c r="B73" s="2" t="str">
        <f t="shared" si="15"/>
        <v>佐伯・区政調整</v>
      </c>
      <c r="C73" s="2" t="str">
        <f t="shared" si="16"/>
        <v>01ｲ00311</v>
      </c>
      <c r="D73" s="2" t="str">
        <f t="shared" si="17"/>
        <v>肘掛椅子</v>
      </c>
      <c r="E73" s="3" t="str">
        <f t="shared" si="18"/>
        <v>肘付</v>
      </c>
      <c r="F73" s="2" t="str">
        <f t="shared" si="19"/>
        <v>０００１</v>
      </c>
      <c r="G73" s="2" t="str">
        <f>"3620003165"</f>
        <v>3620003165</v>
      </c>
      <c r="H73" s="2" t="str">
        <f t="shared" si="20"/>
        <v>001</v>
      </c>
      <c r="I73" s="2" t="str">
        <f t="shared" si="21"/>
        <v>4100401</v>
      </c>
      <c r="J73" s="2">
        <f>31400</f>
        <v>31400</v>
      </c>
      <c r="K73" s="2" t="str">
        <f t="shared" si="22"/>
        <v>脚</v>
      </c>
      <c r="L73" s="2" t="str">
        <f t="shared" si="23"/>
        <v>3630331</v>
      </c>
      <c r="M73" s="2" t="str">
        <f>""</f>
        <v/>
      </c>
    </row>
    <row r="74" spans="1:13" x14ac:dyDescent="0.15">
      <c r="A74" s="2" t="str">
        <f t="shared" si="14"/>
        <v>1881110500</v>
      </c>
      <c r="B74" s="2" t="str">
        <f t="shared" si="15"/>
        <v>佐伯・区政調整</v>
      </c>
      <c r="C74" s="2" t="str">
        <f t="shared" ref="C74:C137" si="24">"01ｲ00311"</f>
        <v>01ｲ00311</v>
      </c>
      <c r="D74" s="2" t="str">
        <f t="shared" ref="D74:D137" si="25">"肘掛椅子"</f>
        <v>肘掛椅子</v>
      </c>
      <c r="E74" s="3" t="str">
        <f t="shared" si="18"/>
        <v>肘付</v>
      </c>
      <c r="F74" s="2" t="str">
        <f t="shared" si="19"/>
        <v>０００１</v>
      </c>
      <c r="G74" s="2" t="str">
        <f>"3620003166"</f>
        <v>3620003166</v>
      </c>
      <c r="H74" s="2" t="str">
        <f t="shared" ref="H74:H137" si="26">"001"</f>
        <v>001</v>
      </c>
      <c r="I74" s="2" t="str">
        <f t="shared" si="21"/>
        <v>4100401</v>
      </c>
      <c r="J74" s="2">
        <f>31400</f>
        <v>31400</v>
      </c>
      <c r="K74" s="2" t="str">
        <f t="shared" si="22"/>
        <v>脚</v>
      </c>
      <c r="L74" s="2" t="str">
        <f t="shared" si="23"/>
        <v>3630331</v>
      </c>
      <c r="M74" s="2" t="str">
        <f>""</f>
        <v/>
      </c>
    </row>
    <row r="75" spans="1:13" x14ac:dyDescent="0.15">
      <c r="A75" s="2" t="str">
        <f t="shared" si="14"/>
        <v>1881110500</v>
      </c>
      <c r="B75" s="2" t="str">
        <f t="shared" si="15"/>
        <v>佐伯・区政調整</v>
      </c>
      <c r="C75" s="2" t="str">
        <f t="shared" si="24"/>
        <v>01ｲ00311</v>
      </c>
      <c r="D75" s="2" t="str">
        <f t="shared" si="25"/>
        <v>肘掛椅子</v>
      </c>
      <c r="E75" s="3" t="str">
        <f t="shared" si="18"/>
        <v>肘付</v>
      </c>
      <c r="F75" s="2" t="str">
        <f t="shared" si="19"/>
        <v>０００１</v>
      </c>
      <c r="G75" s="2" t="str">
        <f>"3620003167"</f>
        <v>3620003167</v>
      </c>
      <c r="H75" s="2" t="str">
        <f t="shared" si="26"/>
        <v>001</v>
      </c>
      <c r="I75" s="2" t="str">
        <f t="shared" si="21"/>
        <v>4100401</v>
      </c>
      <c r="J75" s="2">
        <f>31400</f>
        <v>31400</v>
      </c>
      <c r="K75" s="2" t="str">
        <f t="shared" si="22"/>
        <v>脚</v>
      </c>
      <c r="L75" s="2" t="str">
        <f t="shared" si="23"/>
        <v>3630331</v>
      </c>
      <c r="M75" s="2" t="str">
        <f>""</f>
        <v/>
      </c>
    </row>
    <row r="76" spans="1:13" x14ac:dyDescent="0.15">
      <c r="A76" s="2" t="str">
        <f t="shared" si="14"/>
        <v>1881110500</v>
      </c>
      <c r="B76" s="2" t="str">
        <f t="shared" si="15"/>
        <v>佐伯・区政調整</v>
      </c>
      <c r="C76" s="2" t="str">
        <f t="shared" si="24"/>
        <v>01ｲ00311</v>
      </c>
      <c r="D76" s="2" t="str">
        <f t="shared" si="25"/>
        <v>肘掛椅子</v>
      </c>
      <c r="E76" s="3" t="str">
        <f t="shared" si="18"/>
        <v>肘付</v>
      </c>
      <c r="F76" s="2" t="str">
        <f t="shared" si="19"/>
        <v>０００１</v>
      </c>
      <c r="G76" s="2" t="str">
        <f>"3620003168"</f>
        <v>3620003168</v>
      </c>
      <c r="H76" s="2" t="str">
        <f t="shared" si="26"/>
        <v>001</v>
      </c>
      <c r="I76" s="2" t="str">
        <f t="shared" si="21"/>
        <v>4100401</v>
      </c>
      <c r="J76" s="2">
        <f>31400</f>
        <v>31400</v>
      </c>
      <c r="K76" s="2" t="str">
        <f t="shared" si="22"/>
        <v>脚</v>
      </c>
      <c r="L76" s="2" t="str">
        <f t="shared" si="23"/>
        <v>3630331</v>
      </c>
      <c r="M76" s="2" t="str">
        <f>""</f>
        <v/>
      </c>
    </row>
    <row r="77" spans="1:13" x14ac:dyDescent="0.15">
      <c r="A77" s="2" t="str">
        <f t="shared" si="14"/>
        <v>1881110500</v>
      </c>
      <c r="B77" s="2" t="str">
        <f t="shared" si="15"/>
        <v>佐伯・区政調整</v>
      </c>
      <c r="C77" s="2" t="str">
        <f t="shared" si="24"/>
        <v>01ｲ00311</v>
      </c>
      <c r="D77" s="2" t="str">
        <f t="shared" si="25"/>
        <v>肘掛椅子</v>
      </c>
      <c r="E77" s="3" t="str">
        <f t="shared" si="18"/>
        <v>肘付</v>
      </c>
      <c r="F77" s="2" t="str">
        <f t="shared" si="19"/>
        <v>０００１</v>
      </c>
      <c r="G77" s="2" t="str">
        <f>"3620003169"</f>
        <v>3620003169</v>
      </c>
      <c r="H77" s="2" t="str">
        <f t="shared" si="26"/>
        <v>001</v>
      </c>
      <c r="I77" s="2" t="str">
        <f t="shared" si="21"/>
        <v>4100401</v>
      </c>
      <c r="J77" s="2">
        <f>31400</f>
        <v>31400</v>
      </c>
      <c r="K77" s="2" t="str">
        <f t="shared" si="22"/>
        <v>脚</v>
      </c>
      <c r="L77" s="2" t="str">
        <f t="shared" si="23"/>
        <v>3630331</v>
      </c>
      <c r="M77" s="2" t="str">
        <f>""</f>
        <v/>
      </c>
    </row>
    <row r="78" spans="1:13" x14ac:dyDescent="0.15">
      <c r="A78" s="2" t="str">
        <f t="shared" si="14"/>
        <v>1881110500</v>
      </c>
      <c r="B78" s="2" t="str">
        <f t="shared" si="15"/>
        <v>佐伯・区政調整</v>
      </c>
      <c r="C78" s="2" t="str">
        <f t="shared" si="24"/>
        <v>01ｲ00311</v>
      </c>
      <c r="D78" s="2" t="str">
        <f t="shared" si="25"/>
        <v>肘掛椅子</v>
      </c>
      <c r="E78" s="3" t="str">
        <f t="shared" si="18"/>
        <v>肘付</v>
      </c>
      <c r="F78" s="2" t="str">
        <f t="shared" si="19"/>
        <v>０００１</v>
      </c>
      <c r="G78" s="2" t="str">
        <f>"3620003170"</f>
        <v>3620003170</v>
      </c>
      <c r="H78" s="2" t="str">
        <f t="shared" si="26"/>
        <v>001</v>
      </c>
      <c r="I78" s="2" t="str">
        <f t="shared" si="21"/>
        <v>4100401</v>
      </c>
      <c r="J78" s="2">
        <f>31400</f>
        <v>31400</v>
      </c>
      <c r="K78" s="2" t="str">
        <f t="shared" si="22"/>
        <v>脚</v>
      </c>
      <c r="L78" s="2" t="str">
        <f t="shared" si="23"/>
        <v>3630331</v>
      </c>
      <c r="M78" s="2" t="str">
        <f>""</f>
        <v/>
      </c>
    </row>
    <row r="79" spans="1:13" x14ac:dyDescent="0.15">
      <c r="A79" s="2" t="str">
        <f t="shared" si="14"/>
        <v>1881110500</v>
      </c>
      <c r="B79" s="2" t="str">
        <f t="shared" si="15"/>
        <v>佐伯・区政調整</v>
      </c>
      <c r="C79" s="2" t="str">
        <f t="shared" si="24"/>
        <v>01ｲ00311</v>
      </c>
      <c r="D79" s="2" t="str">
        <f t="shared" si="25"/>
        <v>肘掛椅子</v>
      </c>
      <c r="E79" s="3" t="str">
        <f t="shared" si="18"/>
        <v>肘付</v>
      </c>
      <c r="F79" s="2" t="str">
        <f t="shared" si="19"/>
        <v>０００１</v>
      </c>
      <c r="G79" s="2" t="str">
        <f>"3620003171"</f>
        <v>3620003171</v>
      </c>
      <c r="H79" s="2" t="str">
        <f t="shared" si="26"/>
        <v>001</v>
      </c>
      <c r="I79" s="2" t="str">
        <f t="shared" si="21"/>
        <v>4100401</v>
      </c>
      <c r="J79" s="2">
        <f>31400</f>
        <v>31400</v>
      </c>
      <c r="K79" s="2" t="str">
        <f t="shared" si="22"/>
        <v>脚</v>
      </c>
      <c r="L79" s="2" t="str">
        <f t="shared" si="23"/>
        <v>3630331</v>
      </c>
      <c r="M79" s="2" t="str">
        <f>""</f>
        <v/>
      </c>
    </row>
    <row r="80" spans="1:13" x14ac:dyDescent="0.15">
      <c r="A80" s="2" t="str">
        <f t="shared" si="14"/>
        <v>1881110500</v>
      </c>
      <c r="B80" s="2" t="str">
        <f t="shared" si="15"/>
        <v>佐伯・区政調整</v>
      </c>
      <c r="C80" s="2" t="str">
        <f t="shared" si="24"/>
        <v>01ｲ00311</v>
      </c>
      <c r="D80" s="2" t="str">
        <f t="shared" si="25"/>
        <v>肘掛椅子</v>
      </c>
      <c r="E80" s="3" t="str">
        <f t="shared" si="18"/>
        <v>肘付</v>
      </c>
      <c r="F80" s="2" t="str">
        <f t="shared" si="19"/>
        <v>０００１</v>
      </c>
      <c r="G80" s="2" t="str">
        <f>"3620003172"</f>
        <v>3620003172</v>
      </c>
      <c r="H80" s="2" t="str">
        <f t="shared" si="26"/>
        <v>001</v>
      </c>
      <c r="I80" s="2" t="str">
        <f t="shared" si="21"/>
        <v>4100401</v>
      </c>
      <c r="J80" s="2">
        <f>31400</f>
        <v>31400</v>
      </c>
      <c r="K80" s="2" t="str">
        <f t="shared" si="22"/>
        <v>脚</v>
      </c>
      <c r="L80" s="2" t="str">
        <f t="shared" si="23"/>
        <v>3630331</v>
      </c>
      <c r="M80" s="2" t="str">
        <f>""</f>
        <v/>
      </c>
    </row>
    <row r="81" spans="1:13" x14ac:dyDescent="0.15">
      <c r="A81" s="2" t="str">
        <f t="shared" si="14"/>
        <v>1881110500</v>
      </c>
      <c r="B81" s="2" t="str">
        <f t="shared" si="15"/>
        <v>佐伯・区政調整</v>
      </c>
      <c r="C81" s="2" t="str">
        <f t="shared" si="24"/>
        <v>01ｲ00311</v>
      </c>
      <c r="D81" s="2" t="str">
        <f t="shared" si="25"/>
        <v>肘掛椅子</v>
      </c>
      <c r="E81" s="3" t="str">
        <f t="shared" si="18"/>
        <v>肘付</v>
      </c>
      <c r="F81" s="2" t="str">
        <f t="shared" si="19"/>
        <v>０００１</v>
      </c>
      <c r="G81" s="2" t="str">
        <f>"3620003173"</f>
        <v>3620003173</v>
      </c>
      <c r="H81" s="2" t="str">
        <f t="shared" si="26"/>
        <v>001</v>
      </c>
      <c r="I81" s="2" t="str">
        <f t="shared" si="21"/>
        <v>4100401</v>
      </c>
      <c r="J81" s="2">
        <f>31400</f>
        <v>31400</v>
      </c>
      <c r="K81" s="2" t="str">
        <f t="shared" si="22"/>
        <v>脚</v>
      </c>
      <c r="L81" s="2" t="str">
        <f t="shared" si="23"/>
        <v>3630331</v>
      </c>
      <c r="M81" s="2" t="str">
        <f>""</f>
        <v/>
      </c>
    </row>
    <row r="82" spans="1:13" x14ac:dyDescent="0.15">
      <c r="A82" s="2" t="str">
        <f t="shared" si="14"/>
        <v>1881110500</v>
      </c>
      <c r="B82" s="2" t="str">
        <f t="shared" si="15"/>
        <v>佐伯・区政調整</v>
      </c>
      <c r="C82" s="2" t="str">
        <f t="shared" si="24"/>
        <v>01ｲ00311</v>
      </c>
      <c r="D82" s="2" t="str">
        <f t="shared" si="25"/>
        <v>肘掛椅子</v>
      </c>
      <c r="E82" s="3" t="str">
        <f t="shared" si="18"/>
        <v>肘付</v>
      </c>
      <c r="F82" s="2" t="str">
        <f t="shared" si="19"/>
        <v>０００１</v>
      </c>
      <c r="G82" s="2" t="str">
        <f>"3620003174"</f>
        <v>3620003174</v>
      </c>
      <c r="H82" s="2" t="str">
        <f t="shared" si="26"/>
        <v>001</v>
      </c>
      <c r="I82" s="2" t="str">
        <f t="shared" si="21"/>
        <v>4100401</v>
      </c>
      <c r="J82" s="2">
        <f>31400</f>
        <v>31400</v>
      </c>
      <c r="K82" s="2" t="str">
        <f t="shared" si="22"/>
        <v>脚</v>
      </c>
      <c r="L82" s="2" t="str">
        <f t="shared" si="23"/>
        <v>3630331</v>
      </c>
      <c r="M82" s="2" t="str">
        <f>""</f>
        <v/>
      </c>
    </row>
    <row r="83" spans="1:13" x14ac:dyDescent="0.15">
      <c r="A83" s="2" t="str">
        <f t="shared" si="14"/>
        <v>1881110500</v>
      </c>
      <c r="B83" s="2" t="str">
        <f t="shared" si="15"/>
        <v>佐伯・区政調整</v>
      </c>
      <c r="C83" s="2" t="str">
        <f t="shared" si="24"/>
        <v>01ｲ00311</v>
      </c>
      <c r="D83" s="2" t="str">
        <f t="shared" si="25"/>
        <v>肘掛椅子</v>
      </c>
      <c r="E83" s="3" t="str">
        <f t="shared" si="18"/>
        <v>肘付</v>
      </c>
      <c r="F83" s="2" t="str">
        <f t="shared" si="19"/>
        <v>０００１</v>
      </c>
      <c r="G83" s="2" t="str">
        <f>"3620003175"</f>
        <v>3620003175</v>
      </c>
      <c r="H83" s="2" t="str">
        <f t="shared" si="26"/>
        <v>001</v>
      </c>
      <c r="I83" s="2" t="str">
        <f t="shared" si="21"/>
        <v>4100401</v>
      </c>
      <c r="J83" s="2">
        <f>31400</f>
        <v>31400</v>
      </c>
      <c r="K83" s="2" t="str">
        <f t="shared" si="22"/>
        <v>脚</v>
      </c>
      <c r="L83" s="2" t="str">
        <f t="shared" si="23"/>
        <v>3630331</v>
      </c>
      <c r="M83" s="2" t="str">
        <f>""</f>
        <v/>
      </c>
    </row>
    <row r="84" spans="1:13" x14ac:dyDescent="0.15">
      <c r="A84" s="2" t="str">
        <f t="shared" si="14"/>
        <v>1881110500</v>
      </c>
      <c r="B84" s="2" t="str">
        <f t="shared" si="15"/>
        <v>佐伯・区政調整</v>
      </c>
      <c r="C84" s="2" t="str">
        <f t="shared" si="24"/>
        <v>01ｲ00311</v>
      </c>
      <c r="D84" s="2" t="str">
        <f t="shared" si="25"/>
        <v>肘掛椅子</v>
      </c>
      <c r="E84" s="3" t="str">
        <f t="shared" si="18"/>
        <v>肘付</v>
      </c>
      <c r="F84" s="2" t="str">
        <f t="shared" si="19"/>
        <v>０００１</v>
      </c>
      <c r="G84" s="2" t="str">
        <f>"3620003176"</f>
        <v>3620003176</v>
      </c>
      <c r="H84" s="2" t="str">
        <f t="shared" si="26"/>
        <v>001</v>
      </c>
      <c r="I84" s="2" t="str">
        <f t="shared" si="21"/>
        <v>4100401</v>
      </c>
      <c r="J84" s="2">
        <f>31400</f>
        <v>31400</v>
      </c>
      <c r="K84" s="2" t="str">
        <f t="shared" si="22"/>
        <v>脚</v>
      </c>
      <c r="L84" s="2" t="str">
        <f t="shared" si="23"/>
        <v>3630331</v>
      </c>
      <c r="M84" s="2" t="str">
        <f>""</f>
        <v/>
      </c>
    </row>
    <row r="85" spans="1:13" x14ac:dyDescent="0.15">
      <c r="A85" s="2" t="str">
        <f t="shared" si="14"/>
        <v>1881110500</v>
      </c>
      <c r="B85" s="2" t="str">
        <f t="shared" si="15"/>
        <v>佐伯・区政調整</v>
      </c>
      <c r="C85" s="2" t="str">
        <f t="shared" si="24"/>
        <v>01ｲ00311</v>
      </c>
      <c r="D85" s="2" t="str">
        <f t="shared" si="25"/>
        <v>肘掛椅子</v>
      </c>
      <c r="E85" s="3" t="str">
        <f t="shared" si="18"/>
        <v>肘付</v>
      </c>
      <c r="F85" s="2" t="str">
        <f t="shared" si="19"/>
        <v>０００１</v>
      </c>
      <c r="G85" s="2" t="str">
        <f>"3620003177"</f>
        <v>3620003177</v>
      </c>
      <c r="H85" s="2" t="str">
        <f t="shared" si="26"/>
        <v>001</v>
      </c>
      <c r="I85" s="2" t="str">
        <f t="shared" si="21"/>
        <v>4100401</v>
      </c>
      <c r="J85" s="2">
        <f>31400</f>
        <v>31400</v>
      </c>
      <c r="K85" s="2" t="str">
        <f t="shared" si="22"/>
        <v>脚</v>
      </c>
      <c r="L85" s="2" t="str">
        <f t="shared" si="23"/>
        <v>3630331</v>
      </c>
      <c r="M85" s="2" t="str">
        <f>""</f>
        <v/>
      </c>
    </row>
    <row r="86" spans="1:13" x14ac:dyDescent="0.15">
      <c r="A86" s="2" t="str">
        <f t="shared" si="14"/>
        <v>1881110500</v>
      </c>
      <c r="B86" s="2" t="str">
        <f t="shared" si="15"/>
        <v>佐伯・区政調整</v>
      </c>
      <c r="C86" s="2" t="str">
        <f t="shared" si="24"/>
        <v>01ｲ00311</v>
      </c>
      <c r="D86" s="2" t="str">
        <f t="shared" si="25"/>
        <v>肘掛椅子</v>
      </c>
      <c r="E86" s="3" t="str">
        <f t="shared" si="18"/>
        <v>肘付</v>
      </c>
      <c r="F86" s="2" t="str">
        <f t="shared" si="19"/>
        <v>０００１</v>
      </c>
      <c r="G86" s="2" t="str">
        <f>"3620003178"</f>
        <v>3620003178</v>
      </c>
      <c r="H86" s="2" t="str">
        <f t="shared" si="26"/>
        <v>001</v>
      </c>
      <c r="I86" s="2" t="str">
        <f t="shared" si="21"/>
        <v>4100401</v>
      </c>
      <c r="J86" s="2">
        <f>31400</f>
        <v>31400</v>
      </c>
      <c r="K86" s="2" t="str">
        <f t="shared" si="22"/>
        <v>脚</v>
      </c>
      <c r="L86" s="2" t="str">
        <f t="shared" si="23"/>
        <v>3630331</v>
      </c>
      <c r="M86" s="2" t="str">
        <f>""</f>
        <v/>
      </c>
    </row>
    <row r="87" spans="1:13" x14ac:dyDescent="0.15">
      <c r="A87" s="2" t="str">
        <f t="shared" si="14"/>
        <v>1881110500</v>
      </c>
      <c r="B87" s="2" t="str">
        <f t="shared" si="15"/>
        <v>佐伯・区政調整</v>
      </c>
      <c r="C87" s="2" t="str">
        <f t="shared" si="24"/>
        <v>01ｲ00311</v>
      </c>
      <c r="D87" s="2" t="str">
        <f t="shared" si="25"/>
        <v>肘掛椅子</v>
      </c>
      <c r="E87" s="3" t="str">
        <f t="shared" si="18"/>
        <v>肘付</v>
      </c>
      <c r="F87" s="2" t="str">
        <f t="shared" si="19"/>
        <v>０００１</v>
      </c>
      <c r="G87" s="2" t="str">
        <f>"3620003179"</f>
        <v>3620003179</v>
      </c>
      <c r="H87" s="2" t="str">
        <f t="shared" si="26"/>
        <v>001</v>
      </c>
      <c r="I87" s="2" t="str">
        <f t="shared" si="21"/>
        <v>4100401</v>
      </c>
      <c r="J87" s="2">
        <f>31400</f>
        <v>31400</v>
      </c>
      <c r="K87" s="2" t="str">
        <f t="shared" si="22"/>
        <v>脚</v>
      </c>
      <c r="L87" s="2" t="str">
        <f t="shared" si="23"/>
        <v>3630331</v>
      </c>
      <c r="M87" s="2" t="str">
        <f>""</f>
        <v/>
      </c>
    </row>
    <row r="88" spans="1:13" x14ac:dyDescent="0.15">
      <c r="A88" s="2" t="str">
        <f t="shared" si="14"/>
        <v>1881110500</v>
      </c>
      <c r="B88" s="2" t="str">
        <f t="shared" si="15"/>
        <v>佐伯・区政調整</v>
      </c>
      <c r="C88" s="2" t="str">
        <f t="shared" si="24"/>
        <v>01ｲ00311</v>
      </c>
      <c r="D88" s="2" t="str">
        <f t="shared" si="25"/>
        <v>肘掛椅子</v>
      </c>
      <c r="E88" s="3" t="str">
        <f t="shared" si="18"/>
        <v>肘付</v>
      </c>
      <c r="F88" s="2" t="str">
        <f t="shared" si="19"/>
        <v>０００１</v>
      </c>
      <c r="G88" s="2" t="str">
        <f>"3620003180"</f>
        <v>3620003180</v>
      </c>
      <c r="H88" s="2" t="str">
        <f t="shared" si="26"/>
        <v>001</v>
      </c>
      <c r="I88" s="2" t="str">
        <f t="shared" si="21"/>
        <v>4100401</v>
      </c>
      <c r="J88" s="2">
        <f>31400</f>
        <v>31400</v>
      </c>
      <c r="K88" s="2" t="str">
        <f t="shared" si="22"/>
        <v>脚</v>
      </c>
      <c r="L88" s="2" t="str">
        <f t="shared" si="23"/>
        <v>3630331</v>
      </c>
      <c r="M88" s="2" t="str">
        <f>""</f>
        <v/>
      </c>
    </row>
    <row r="89" spans="1:13" x14ac:dyDescent="0.15">
      <c r="A89" s="2" t="str">
        <f t="shared" si="14"/>
        <v>1881110500</v>
      </c>
      <c r="B89" s="2" t="str">
        <f t="shared" si="15"/>
        <v>佐伯・区政調整</v>
      </c>
      <c r="C89" s="2" t="str">
        <f t="shared" si="24"/>
        <v>01ｲ00311</v>
      </c>
      <c r="D89" s="2" t="str">
        <f t="shared" si="25"/>
        <v>肘掛椅子</v>
      </c>
      <c r="E89" s="3" t="str">
        <f t="shared" si="18"/>
        <v>肘付</v>
      </c>
      <c r="F89" s="2" t="str">
        <f t="shared" si="19"/>
        <v>０００１</v>
      </c>
      <c r="G89" s="2" t="str">
        <f>"3620003181"</f>
        <v>3620003181</v>
      </c>
      <c r="H89" s="2" t="str">
        <f t="shared" si="26"/>
        <v>001</v>
      </c>
      <c r="I89" s="2" t="str">
        <f t="shared" si="21"/>
        <v>4100401</v>
      </c>
      <c r="J89" s="2">
        <f>31400</f>
        <v>31400</v>
      </c>
      <c r="K89" s="2" t="str">
        <f t="shared" si="22"/>
        <v>脚</v>
      </c>
      <c r="L89" s="2" t="str">
        <f t="shared" si="23"/>
        <v>3630331</v>
      </c>
      <c r="M89" s="2" t="str">
        <f>""</f>
        <v/>
      </c>
    </row>
    <row r="90" spans="1:13" x14ac:dyDescent="0.15">
      <c r="A90" s="2" t="str">
        <f t="shared" ref="A90:A153" si="27">"1881110500"</f>
        <v>1881110500</v>
      </c>
      <c r="B90" s="2" t="str">
        <f t="shared" ref="B90:B153" si="28">"佐伯・区政調整"</f>
        <v>佐伯・区政調整</v>
      </c>
      <c r="C90" s="2" t="str">
        <f t="shared" si="24"/>
        <v>01ｲ00311</v>
      </c>
      <c r="D90" s="2" t="str">
        <f t="shared" si="25"/>
        <v>肘掛椅子</v>
      </c>
      <c r="E90" s="3" t="str">
        <f t="shared" si="18"/>
        <v>肘付</v>
      </c>
      <c r="F90" s="2" t="str">
        <f t="shared" si="19"/>
        <v>０００１</v>
      </c>
      <c r="G90" s="2" t="str">
        <f>"3620003182"</f>
        <v>3620003182</v>
      </c>
      <c r="H90" s="2" t="str">
        <f t="shared" si="26"/>
        <v>001</v>
      </c>
      <c r="I90" s="2" t="str">
        <f t="shared" si="21"/>
        <v>4100401</v>
      </c>
      <c r="J90" s="2">
        <f>31400</f>
        <v>31400</v>
      </c>
      <c r="K90" s="2" t="str">
        <f t="shared" ref="K90:K153" si="29">"脚"</f>
        <v>脚</v>
      </c>
      <c r="L90" s="2" t="str">
        <f t="shared" si="23"/>
        <v>3630331</v>
      </c>
      <c r="M90" s="2" t="str">
        <f>""</f>
        <v/>
      </c>
    </row>
    <row r="91" spans="1:13" x14ac:dyDescent="0.15">
      <c r="A91" s="2" t="str">
        <f t="shared" si="27"/>
        <v>1881110500</v>
      </c>
      <c r="B91" s="2" t="str">
        <f t="shared" si="28"/>
        <v>佐伯・区政調整</v>
      </c>
      <c r="C91" s="2" t="str">
        <f t="shared" si="24"/>
        <v>01ｲ00311</v>
      </c>
      <c r="D91" s="2" t="str">
        <f t="shared" si="25"/>
        <v>肘掛椅子</v>
      </c>
      <c r="E91" s="3" t="str">
        <f t="shared" si="18"/>
        <v>肘付</v>
      </c>
      <c r="F91" s="2" t="str">
        <f t="shared" si="19"/>
        <v>０００１</v>
      </c>
      <c r="G91" s="2" t="str">
        <f>"3620003183"</f>
        <v>3620003183</v>
      </c>
      <c r="H91" s="2" t="str">
        <f t="shared" si="26"/>
        <v>001</v>
      </c>
      <c r="I91" s="2" t="str">
        <f t="shared" si="21"/>
        <v>4100401</v>
      </c>
      <c r="J91" s="2">
        <f>31400</f>
        <v>31400</v>
      </c>
      <c r="K91" s="2" t="str">
        <f t="shared" si="29"/>
        <v>脚</v>
      </c>
      <c r="L91" s="2" t="str">
        <f t="shared" si="23"/>
        <v>3630331</v>
      </c>
      <c r="M91" s="2" t="str">
        <f>""</f>
        <v/>
      </c>
    </row>
    <row r="92" spans="1:13" x14ac:dyDescent="0.15">
      <c r="A92" s="2" t="str">
        <f t="shared" si="27"/>
        <v>1881110500</v>
      </c>
      <c r="B92" s="2" t="str">
        <f t="shared" si="28"/>
        <v>佐伯・区政調整</v>
      </c>
      <c r="C92" s="2" t="str">
        <f t="shared" si="24"/>
        <v>01ｲ00311</v>
      </c>
      <c r="D92" s="2" t="str">
        <f t="shared" si="25"/>
        <v>肘掛椅子</v>
      </c>
      <c r="E92" s="3" t="str">
        <f t="shared" si="18"/>
        <v>肘付</v>
      </c>
      <c r="F92" s="2" t="str">
        <f t="shared" si="19"/>
        <v>０００１</v>
      </c>
      <c r="G92" s="2" t="str">
        <f>"3620003184"</f>
        <v>3620003184</v>
      </c>
      <c r="H92" s="2" t="str">
        <f t="shared" si="26"/>
        <v>001</v>
      </c>
      <c r="I92" s="2" t="str">
        <f t="shared" si="21"/>
        <v>4100401</v>
      </c>
      <c r="J92" s="2">
        <f>31400</f>
        <v>31400</v>
      </c>
      <c r="K92" s="2" t="str">
        <f t="shared" si="29"/>
        <v>脚</v>
      </c>
      <c r="L92" s="2" t="str">
        <f t="shared" si="23"/>
        <v>3630331</v>
      </c>
      <c r="M92" s="2" t="str">
        <f>""</f>
        <v/>
      </c>
    </row>
    <row r="93" spans="1:13" x14ac:dyDescent="0.15">
      <c r="A93" s="2" t="str">
        <f t="shared" si="27"/>
        <v>1881110500</v>
      </c>
      <c r="B93" s="2" t="str">
        <f t="shared" si="28"/>
        <v>佐伯・区政調整</v>
      </c>
      <c r="C93" s="2" t="str">
        <f t="shared" si="24"/>
        <v>01ｲ00311</v>
      </c>
      <c r="D93" s="2" t="str">
        <f t="shared" si="25"/>
        <v>肘掛椅子</v>
      </c>
      <c r="E93" s="3" t="str">
        <f t="shared" si="18"/>
        <v>肘付</v>
      </c>
      <c r="F93" s="2" t="str">
        <f t="shared" si="19"/>
        <v>０００１</v>
      </c>
      <c r="G93" s="2" t="str">
        <f>"3620003185"</f>
        <v>3620003185</v>
      </c>
      <c r="H93" s="2" t="str">
        <f t="shared" si="26"/>
        <v>001</v>
      </c>
      <c r="I93" s="2" t="str">
        <f t="shared" si="21"/>
        <v>4100401</v>
      </c>
      <c r="J93" s="2">
        <f>31400</f>
        <v>31400</v>
      </c>
      <c r="K93" s="2" t="str">
        <f t="shared" si="29"/>
        <v>脚</v>
      </c>
      <c r="L93" s="2" t="str">
        <f t="shared" si="23"/>
        <v>3630331</v>
      </c>
      <c r="M93" s="2" t="str">
        <f>""</f>
        <v/>
      </c>
    </row>
    <row r="94" spans="1:13" x14ac:dyDescent="0.15">
      <c r="A94" s="2" t="str">
        <f t="shared" si="27"/>
        <v>1881110500</v>
      </c>
      <c r="B94" s="2" t="str">
        <f t="shared" si="28"/>
        <v>佐伯・区政調整</v>
      </c>
      <c r="C94" s="2" t="str">
        <f t="shared" si="24"/>
        <v>01ｲ00311</v>
      </c>
      <c r="D94" s="2" t="str">
        <f t="shared" si="25"/>
        <v>肘掛椅子</v>
      </c>
      <c r="E94" s="3" t="str">
        <f t="shared" si="18"/>
        <v>肘付</v>
      </c>
      <c r="F94" s="2" t="str">
        <f t="shared" si="19"/>
        <v>０００１</v>
      </c>
      <c r="G94" s="2" t="str">
        <f>"3620003186"</f>
        <v>3620003186</v>
      </c>
      <c r="H94" s="2" t="str">
        <f t="shared" si="26"/>
        <v>001</v>
      </c>
      <c r="I94" s="2" t="str">
        <f t="shared" si="21"/>
        <v>4100401</v>
      </c>
      <c r="J94" s="2">
        <f>31400</f>
        <v>31400</v>
      </c>
      <c r="K94" s="2" t="str">
        <f t="shared" si="29"/>
        <v>脚</v>
      </c>
      <c r="L94" s="2" t="str">
        <f t="shared" si="23"/>
        <v>3630331</v>
      </c>
      <c r="M94" s="2" t="str">
        <f>""</f>
        <v/>
      </c>
    </row>
    <row r="95" spans="1:13" x14ac:dyDescent="0.15">
      <c r="A95" s="2" t="str">
        <f t="shared" si="27"/>
        <v>1881110500</v>
      </c>
      <c r="B95" s="2" t="str">
        <f t="shared" si="28"/>
        <v>佐伯・区政調整</v>
      </c>
      <c r="C95" s="2" t="str">
        <f t="shared" si="24"/>
        <v>01ｲ00311</v>
      </c>
      <c r="D95" s="2" t="str">
        <f t="shared" si="25"/>
        <v>肘掛椅子</v>
      </c>
      <c r="E95" s="3" t="str">
        <f t="shared" si="18"/>
        <v>肘付</v>
      </c>
      <c r="F95" s="2" t="str">
        <f t="shared" si="19"/>
        <v>０００１</v>
      </c>
      <c r="G95" s="2" t="str">
        <f>"3620003187"</f>
        <v>3620003187</v>
      </c>
      <c r="H95" s="2" t="str">
        <f t="shared" si="26"/>
        <v>001</v>
      </c>
      <c r="I95" s="2" t="str">
        <f t="shared" si="21"/>
        <v>4100401</v>
      </c>
      <c r="J95" s="2">
        <f>31400</f>
        <v>31400</v>
      </c>
      <c r="K95" s="2" t="str">
        <f t="shared" si="29"/>
        <v>脚</v>
      </c>
      <c r="L95" s="2" t="str">
        <f t="shared" si="23"/>
        <v>3630331</v>
      </c>
      <c r="M95" s="2" t="str">
        <f>""</f>
        <v/>
      </c>
    </row>
    <row r="96" spans="1:13" x14ac:dyDescent="0.15">
      <c r="A96" s="2" t="str">
        <f t="shared" si="27"/>
        <v>1881110500</v>
      </c>
      <c r="B96" s="2" t="str">
        <f t="shared" si="28"/>
        <v>佐伯・区政調整</v>
      </c>
      <c r="C96" s="2" t="str">
        <f t="shared" si="24"/>
        <v>01ｲ00311</v>
      </c>
      <c r="D96" s="2" t="str">
        <f t="shared" si="25"/>
        <v>肘掛椅子</v>
      </c>
      <c r="E96" s="3" t="str">
        <f t="shared" si="18"/>
        <v>肘付</v>
      </c>
      <c r="F96" s="2" t="str">
        <f t="shared" si="19"/>
        <v>０００１</v>
      </c>
      <c r="G96" s="2" t="str">
        <f>"3620003188"</f>
        <v>3620003188</v>
      </c>
      <c r="H96" s="2" t="str">
        <f t="shared" si="26"/>
        <v>001</v>
      </c>
      <c r="I96" s="2" t="str">
        <f t="shared" si="21"/>
        <v>4100401</v>
      </c>
      <c r="J96" s="2">
        <f>31400</f>
        <v>31400</v>
      </c>
      <c r="K96" s="2" t="str">
        <f t="shared" si="29"/>
        <v>脚</v>
      </c>
      <c r="L96" s="2" t="str">
        <f t="shared" si="23"/>
        <v>3630331</v>
      </c>
      <c r="M96" s="2" t="str">
        <f>""</f>
        <v/>
      </c>
    </row>
    <row r="97" spans="1:13" x14ac:dyDescent="0.15">
      <c r="A97" s="2" t="str">
        <f t="shared" si="27"/>
        <v>1881110500</v>
      </c>
      <c r="B97" s="2" t="str">
        <f t="shared" si="28"/>
        <v>佐伯・区政調整</v>
      </c>
      <c r="C97" s="2" t="str">
        <f t="shared" si="24"/>
        <v>01ｲ00311</v>
      </c>
      <c r="D97" s="2" t="str">
        <f t="shared" si="25"/>
        <v>肘掛椅子</v>
      </c>
      <c r="E97" s="3" t="str">
        <f t="shared" si="18"/>
        <v>肘付</v>
      </c>
      <c r="F97" s="2" t="str">
        <f t="shared" si="19"/>
        <v>０００１</v>
      </c>
      <c r="G97" s="2" t="str">
        <f>"3620003189"</f>
        <v>3620003189</v>
      </c>
      <c r="H97" s="2" t="str">
        <f t="shared" si="26"/>
        <v>001</v>
      </c>
      <c r="I97" s="2" t="str">
        <f t="shared" si="21"/>
        <v>4100401</v>
      </c>
      <c r="J97" s="2">
        <f>31400</f>
        <v>31400</v>
      </c>
      <c r="K97" s="2" t="str">
        <f t="shared" si="29"/>
        <v>脚</v>
      </c>
      <c r="L97" s="2" t="str">
        <f t="shared" si="23"/>
        <v>3630331</v>
      </c>
      <c r="M97" s="2" t="str">
        <f>""</f>
        <v/>
      </c>
    </row>
    <row r="98" spans="1:13" x14ac:dyDescent="0.15">
      <c r="A98" s="2" t="str">
        <f t="shared" si="27"/>
        <v>1881110500</v>
      </c>
      <c r="B98" s="2" t="str">
        <f t="shared" si="28"/>
        <v>佐伯・区政調整</v>
      </c>
      <c r="C98" s="2" t="str">
        <f t="shared" si="24"/>
        <v>01ｲ00311</v>
      </c>
      <c r="D98" s="2" t="str">
        <f t="shared" si="25"/>
        <v>肘掛椅子</v>
      </c>
      <c r="E98" s="3" t="str">
        <f t="shared" ref="E98:E161" si="30">"肘付"</f>
        <v>肘付</v>
      </c>
      <c r="F98" s="2" t="str">
        <f t="shared" ref="F98:F161" si="31">"０００１"</f>
        <v>０００１</v>
      </c>
      <c r="G98" s="2" t="str">
        <f>"3620003190"</f>
        <v>3620003190</v>
      </c>
      <c r="H98" s="2" t="str">
        <f t="shared" si="26"/>
        <v>001</v>
      </c>
      <c r="I98" s="2" t="str">
        <f t="shared" ref="I98:I161" si="32">"4100401"</f>
        <v>4100401</v>
      </c>
      <c r="J98" s="2">
        <f>31400</f>
        <v>31400</v>
      </c>
      <c r="K98" s="2" t="str">
        <f t="shared" si="29"/>
        <v>脚</v>
      </c>
      <c r="L98" s="2" t="str">
        <f t="shared" ref="L98:L161" si="33">"3630331"</f>
        <v>3630331</v>
      </c>
      <c r="M98" s="2" t="str">
        <f>""</f>
        <v/>
      </c>
    </row>
    <row r="99" spans="1:13" x14ac:dyDescent="0.15">
      <c r="A99" s="2" t="str">
        <f t="shared" si="27"/>
        <v>1881110500</v>
      </c>
      <c r="B99" s="2" t="str">
        <f t="shared" si="28"/>
        <v>佐伯・区政調整</v>
      </c>
      <c r="C99" s="2" t="str">
        <f t="shared" si="24"/>
        <v>01ｲ00311</v>
      </c>
      <c r="D99" s="2" t="str">
        <f t="shared" si="25"/>
        <v>肘掛椅子</v>
      </c>
      <c r="E99" s="3" t="str">
        <f t="shared" si="30"/>
        <v>肘付</v>
      </c>
      <c r="F99" s="2" t="str">
        <f t="shared" si="31"/>
        <v>０００１</v>
      </c>
      <c r="G99" s="2" t="str">
        <f>"3620003191"</f>
        <v>3620003191</v>
      </c>
      <c r="H99" s="2" t="str">
        <f t="shared" si="26"/>
        <v>001</v>
      </c>
      <c r="I99" s="2" t="str">
        <f t="shared" si="32"/>
        <v>4100401</v>
      </c>
      <c r="J99" s="2">
        <f>31400</f>
        <v>31400</v>
      </c>
      <c r="K99" s="2" t="str">
        <f t="shared" si="29"/>
        <v>脚</v>
      </c>
      <c r="L99" s="2" t="str">
        <f t="shared" si="33"/>
        <v>3630331</v>
      </c>
      <c r="M99" s="2" t="str">
        <f>""</f>
        <v/>
      </c>
    </row>
    <row r="100" spans="1:13" x14ac:dyDescent="0.15">
      <c r="A100" s="2" t="str">
        <f t="shared" si="27"/>
        <v>1881110500</v>
      </c>
      <c r="B100" s="2" t="str">
        <f t="shared" si="28"/>
        <v>佐伯・区政調整</v>
      </c>
      <c r="C100" s="2" t="str">
        <f t="shared" si="24"/>
        <v>01ｲ00311</v>
      </c>
      <c r="D100" s="2" t="str">
        <f t="shared" si="25"/>
        <v>肘掛椅子</v>
      </c>
      <c r="E100" s="3" t="str">
        <f t="shared" si="30"/>
        <v>肘付</v>
      </c>
      <c r="F100" s="2" t="str">
        <f t="shared" si="31"/>
        <v>０００１</v>
      </c>
      <c r="G100" s="2" t="str">
        <f>"3620003192"</f>
        <v>3620003192</v>
      </c>
      <c r="H100" s="2" t="str">
        <f t="shared" si="26"/>
        <v>001</v>
      </c>
      <c r="I100" s="2" t="str">
        <f t="shared" si="32"/>
        <v>4100401</v>
      </c>
      <c r="J100" s="2">
        <f>31400</f>
        <v>31400</v>
      </c>
      <c r="K100" s="2" t="str">
        <f t="shared" si="29"/>
        <v>脚</v>
      </c>
      <c r="L100" s="2" t="str">
        <f t="shared" si="33"/>
        <v>3630331</v>
      </c>
      <c r="M100" s="2" t="str">
        <f>""</f>
        <v/>
      </c>
    </row>
    <row r="101" spans="1:13" x14ac:dyDescent="0.15">
      <c r="A101" s="2" t="str">
        <f t="shared" si="27"/>
        <v>1881110500</v>
      </c>
      <c r="B101" s="2" t="str">
        <f t="shared" si="28"/>
        <v>佐伯・区政調整</v>
      </c>
      <c r="C101" s="2" t="str">
        <f t="shared" si="24"/>
        <v>01ｲ00311</v>
      </c>
      <c r="D101" s="2" t="str">
        <f t="shared" si="25"/>
        <v>肘掛椅子</v>
      </c>
      <c r="E101" s="3" t="str">
        <f t="shared" si="30"/>
        <v>肘付</v>
      </c>
      <c r="F101" s="2" t="str">
        <f t="shared" si="31"/>
        <v>０００１</v>
      </c>
      <c r="G101" s="2" t="str">
        <f>"3620003193"</f>
        <v>3620003193</v>
      </c>
      <c r="H101" s="2" t="str">
        <f t="shared" si="26"/>
        <v>001</v>
      </c>
      <c r="I101" s="2" t="str">
        <f t="shared" si="32"/>
        <v>4100401</v>
      </c>
      <c r="J101" s="2">
        <f>31400</f>
        <v>31400</v>
      </c>
      <c r="K101" s="2" t="str">
        <f t="shared" si="29"/>
        <v>脚</v>
      </c>
      <c r="L101" s="2" t="str">
        <f t="shared" si="33"/>
        <v>3630331</v>
      </c>
      <c r="M101" s="2" t="str">
        <f>""</f>
        <v/>
      </c>
    </row>
    <row r="102" spans="1:13" x14ac:dyDescent="0.15">
      <c r="A102" s="2" t="str">
        <f t="shared" si="27"/>
        <v>1881110500</v>
      </c>
      <c r="B102" s="2" t="str">
        <f t="shared" si="28"/>
        <v>佐伯・区政調整</v>
      </c>
      <c r="C102" s="2" t="str">
        <f t="shared" si="24"/>
        <v>01ｲ00311</v>
      </c>
      <c r="D102" s="2" t="str">
        <f t="shared" si="25"/>
        <v>肘掛椅子</v>
      </c>
      <c r="E102" s="3" t="str">
        <f t="shared" si="30"/>
        <v>肘付</v>
      </c>
      <c r="F102" s="2" t="str">
        <f t="shared" si="31"/>
        <v>０００１</v>
      </c>
      <c r="G102" s="2" t="str">
        <f>"3620003194"</f>
        <v>3620003194</v>
      </c>
      <c r="H102" s="2" t="str">
        <f t="shared" si="26"/>
        <v>001</v>
      </c>
      <c r="I102" s="2" t="str">
        <f t="shared" si="32"/>
        <v>4100401</v>
      </c>
      <c r="J102" s="2">
        <f>31400</f>
        <v>31400</v>
      </c>
      <c r="K102" s="2" t="str">
        <f t="shared" si="29"/>
        <v>脚</v>
      </c>
      <c r="L102" s="2" t="str">
        <f t="shared" si="33"/>
        <v>3630331</v>
      </c>
      <c r="M102" s="2" t="str">
        <f>""</f>
        <v/>
      </c>
    </row>
    <row r="103" spans="1:13" x14ac:dyDescent="0.15">
      <c r="A103" s="2" t="str">
        <f t="shared" si="27"/>
        <v>1881110500</v>
      </c>
      <c r="B103" s="2" t="str">
        <f t="shared" si="28"/>
        <v>佐伯・区政調整</v>
      </c>
      <c r="C103" s="2" t="str">
        <f t="shared" si="24"/>
        <v>01ｲ00311</v>
      </c>
      <c r="D103" s="2" t="str">
        <f t="shared" si="25"/>
        <v>肘掛椅子</v>
      </c>
      <c r="E103" s="3" t="str">
        <f t="shared" si="30"/>
        <v>肘付</v>
      </c>
      <c r="F103" s="2" t="str">
        <f t="shared" si="31"/>
        <v>０００１</v>
      </c>
      <c r="G103" s="2" t="str">
        <f>"3620003195"</f>
        <v>3620003195</v>
      </c>
      <c r="H103" s="2" t="str">
        <f t="shared" si="26"/>
        <v>001</v>
      </c>
      <c r="I103" s="2" t="str">
        <f t="shared" si="32"/>
        <v>4100401</v>
      </c>
      <c r="J103" s="2">
        <f>31400</f>
        <v>31400</v>
      </c>
      <c r="K103" s="2" t="str">
        <f t="shared" si="29"/>
        <v>脚</v>
      </c>
      <c r="L103" s="2" t="str">
        <f t="shared" si="33"/>
        <v>3630331</v>
      </c>
      <c r="M103" s="2" t="str">
        <f>""</f>
        <v/>
      </c>
    </row>
    <row r="104" spans="1:13" x14ac:dyDescent="0.15">
      <c r="A104" s="2" t="str">
        <f t="shared" si="27"/>
        <v>1881110500</v>
      </c>
      <c r="B104" s="2" t="str">
        <f t="shared" si="28"/>
        <v>佐伯・区政調整</v>
      </c>
      <c r="C104" s="2" t="str">
        <f t="shared" si="24"/>
        <v>01ｲ00311</v>
      </c>
      <c r="D104" s="2" t="str">
        <f t="shared" si="25"/>
        <v>肘掛椅子</v>
      </c>
      <c r="E104" s="3" t="str">
        <f t="shared" si="30"/>
        <v>肘付</v>
      </c>
      <c r="F104" s="2" t="str">
        <f t="shared" si="31"/>
        <v>０００１</v>
      </c>
      <c r="G104" s="2" t="str">
        <f>"3620003196"</f>
        <v>3620003196</v>
      </c>
      <c r="H104" s="2" t="str">
        <f t="shared" si="26"/>
        <v>001</v>
      </c>
      <c r="I104" s="2" t="str">
        <f t="shared" si="32"/>
        <v>4100401</v>
      </c>
      <c r="J104" s="2">
        <f>31400</f>
        <v>31400</v>
      </c>
      <c r="K104" s="2" t="str">
        <f t="shared" si="29"/>
        <v>脚</v>
      </c>
      <c r="L104" s="2" t="str">
        <f t="shared" si="33"/>
        <v>3630331</v>
      </c>
      <c r="M104" s="2" t="str">
        <f>""</f>
        <v/>
      </c>
    </row>
    <row r="105" spans="1:13" x14ac:dyDescent="0.15">
      <c r="A105" s="2" t="str">
        <f t="shared" si="27"/>
        <v>1881110500</v>
      </c>
      <c r="B105" s="2" t="str">
        <f t="shared" si="28"/>
        <v>佐伯・区政調整</v>
      </c>
      <c r="C105" s="2" t="str">
        <f t="shared" si="24"/>
        <v>01ｲ00311</v>
      </c>
      <c r="D105" s="2" t="str">
        <f t="shared" si="25"/>
        <v>肘掛椅子</v>
      </c>
      <c r="E105" s="3" t="str">
        <f t="shared" si="30"/>
        <v>肘付</v>
      </c>
      <c r="F105" s="2" t="str">
        <f t="shared" si="31"/>
        <v>０００１</v>
      </c>
      <c r="G105" s="2" t="str">
        <f>"3620003197"</f>
        <v>3620003197</v>
      </c>
      <c r="H105" s="2" t="str">
        <f t="shared" si="26"/>
        <v>001</v>
      </c>
      <c r="I105" s="2" t="str">
        <f t="shared" si="32"/>
        <v>4100401</v>
      </c>
      <c r="J105" s="2">
        <f>31400</f>
        <v>31400</v>
      </c>
      <c r="K105" s="2" t="str">
        <f t="shared" si="29"/>
        <v>脚</v>
      </c>
      <c r="L105" s="2" t="str">
        <f t="shared" si="33"/>
        <v>3630331</v>
      </c>
      <c r="M105" s="2" t="str">
        <f>""</f>
        <v/>
      </c>
    </row>
    <row r="106" spans="1:13" x14ac:dyDescent="0.15">
      <c r="A106" s="2" t="str">
        <f t="shared" si="27"/>
        <v>1881110500</v>
      </c>
      <c r="B106" s="2" t="str">
        <f t="shared" si="28"/>
        <v>佐伯・区政調整</v>
      </c>
      <c r="C106" s="2" t="str">
        <f t="shared" si="24"/>
        <v>01ｲ00311</v>
      </c>
      <c r="D106" s="2" t="str">
        <f t="shared" si="25"/>
        <v>肘掛椅子</v>
      </c>
      <c r="E106" s="3" t="str">
        <f t="shared" si="30"/>
        <v>肘付</v>
      </c>
      <c r="F106" s="2" t="str">
        <f t="shared" si="31"/>
        <v>０００１</v>
      </c>
      <c r="G106" s="2" t="str">
        <f>"3620003198"</f>
        <v>3620003198</v>
      </c>
      <c r="H106" s="2" t="str">
        <f t="shared" si="26"/>
        <v>001</v>
      </c>
      <c r="I106" s="2" t="str">
        <f t="shared" si="32"/>
        <v>4100401</v>
      </c>
      <c r="J106" s="2">
        <f>31400</f>
        <v>31400</v>
      </c>
      <c r="K106" s="2" t="str">
        <f t="shared" si="29"/>
        <v>脚</v>
      </c>
      <c r="L106" s="2" t="str">
        <f t="shared" si="33"/>
        <v>3630331</v>
      </c>
      <c r="M106" s="2" t="str">
        <f>""</f>
        <v/>
      </c>
    </row>
    <row r="107" spans="1:13" x14ac:dyDescent="0.15">
      <c r="A107" s="2" t="str">
        <f t="shared" si="27"/>
        <v>1881110500</v>
      </c>
      <c r="B107" s="2" t="str">
        <f t="shared" si="28"/>
        <v>佐伯・区政調整</v>
      </c>
      <c r="C107" s="2" t="str">
        <f t="shared" si="24"/>
        <v>01ｲ00311</v>
      </c>
      <c r="D107" s="2" t="str">
        <f t="shared" si="25"/>
        <v>肘掛椅子</v>
      </c>
      <c r="E107" s="3" t="str">
        <f t="shared" si="30"/>
        <v>肘付</v>
      </c>
      <c r="F107" s="2" t="str">
        <f t="shared" si="31"/>
        <v>０００１</v>
      </c>
      <c r="G107" s="2" t="str">
        <f>"3620003199"</f>
        <v>3620003199</v>
      </c>
      <c r="H107" s="2" t="str">
        <f t="shared" si="26"/>
        <v>001</v>
      </c>
      <c r="I107" s="2" t="str">
        <f t="shared" si="32"/>
        <v>4100401</v>
      </c>
      <c r="J107" s="2">
        <f>31400</f>
        <v>31400</v>
      </c>
      <c r="K107" s="2" t="str">
        <f t="shared" si="29"/>
        <v>脚</v>
      </c>
      <c r="L107" s="2" t="str">
        <f t="shared" si="33"/>
        <v>3630331</v>
      </c>
      <c r="M107" s="2" t="str">
        <f>""</f>
        <v/>
      </c>
    </row>
    <row r="108" spans="1:13" x14ac:dyDescent="0.15">
      <c r="A108" s="2" t="str">
        <f t="shared" si="27"/>
        <v>1881110500</v>
      </c>
      <c r="B108" s="2" t="str">
        <f t="shared" si="28"/>
        <v>佐伯・区政調整</v>
      </c>
      <c r="C108" s="2" t="str">
        <f t="shared" si="24"/>
        <v>01ｲ00311</v>
      </c>
      <c r="D108" s="2" t="str">
        <f t="shared" si="25"/>
        <v>肘掛椅子</v>
      </c>
      <c r="E108" s="3" t="str">
        <f t="shared" si="30"/>
        <v>肘付</v>
      </c>
      <c r="F108" s="2" t="str">
        <f t="shared" si="31"/>
        <v>０００１</v>
      </c>
      <c r="G108" s="2" t="str">
        <f>"3620003200"</f>
        <v>3620003200</v>
      </c>
      <c r="H108" s="2" t="str">
        <f t="shared" si="26"/>
        <v>001</v>
      </c>
      <c r="I108" s="2" t="str">
        <f t="shared" si="32"/>
        <v>4100401</v>
      </c>
      <c r="J108" s="2">
        <f>31400</f>
        <v>31400</v>
      </c>
      <c r="K108" s="2" t="str">
        <f t="shared" si="29"/>
        <v>脚</v>
      </c>
      <c r="L108" s="2" t="str">
        <f t="shared" si="33"/>
        <v>3630331</v>
      </c>
      <c r="M108" s="2" t="str">
        <f>""</f>
        <v/>
      </c>
    </row>
    <row r="109" spans="1:13" x14ac:dyDescent="0.15">
      <c r="A109" s="2" t="str">
        <f t="shared" si="27"/>
        <v>1881110500</v>
      </c>
      <c r="B109" s="2" t="str">
        <f t="shared" si="28"/>
        <v>佐伯・区政調整</v>
      </c>
      <c r="C109" s="2" t="str">
        <f t="shared" si="24"/>
        <v>01ｲ00311</v>
      </c>
      <c r="D109" s="2" t="str">
        <f t="shared" si="25"/>
        <v>肘掛椅子</v>
      </c>
      <c r="E109" s="3" t="str">
        <f t="shared" si="30"/>
        <v>肘付</v>
      </c>
      <c r="F109" s="2" t="str">
        <f t="shared" si="31"/>
        <v>０００１</v>
      </c>
      <c r="G109" s="2" t="str">
        <f>"3620003201"</f>
        <v>3620003201</v>
      </c>
      <c r="H109" s="2" t="str">
        <f t="shared" si="26"/>
        <v>001</v>
      </c>
      <c r="I109" s="2" t="str">
        <f t="shared" si="32"/>
        <v>4100401</v>
      </c>
      <c r="J109" s="2">
        <f>31400</f>
        <v>31400</v>
      </c>
      <c r="K109" s="2" t="str">
        <f t="shared" si="29"/>
        <v>脚</v>
      </c>
      <c r="L109" s="2" t="str">
        <f t="shared" si="33"/>
        <v>3630331</v>
      </c>
      <c r="M109" s="2" t="str">
        <f>""</f>
        <v/>
      </c>
    </row>
    <row r="110" spans="1:13" x14ac:dyDescent="0.15">
      <c r="A110" s="2" t="str">
        <f t="shared" si="27"/>
        <v>1881110500</v>
      </c>
      <c r="B110" s="2" t="str">
        <f t="shared" si="28"/>
        <v>佐伯・区政調整</v>
      </c>
      <c r="C110" s="2" t="str">
        <f t="shared" si="24"/>
        <v>01ｲ00311</v>
      </c>
      <c r="D110" s="2" t="str">
        <f t="shared" si="25"/>
        <v>肘掛椅子</v>
      </c>
      <c r="E110" s="3" t="str">
        <f t="shared" si="30"/>
        <v>肘付</v>
      </c>
      <c r="F110" s="2" t="str">
        <f t="shared" si="31"/>
        <v>０００１</v>
      </c>
      <c r="G110" s="2" t="str">
        <f>"3620003202"</f>
        <v>3620003202</v>
      </c>
      <c r="H110" s="2" t="str">
        <f t="shared" si="26"/>
        <v>001</v>
      </c>
      <c r="I110" s="2" t="str">
        <f t="shared" si="32"/>
        <v>4100401</v>
      </c>
      <c r="J110" s="2">
        <f>31400</f>
        <v>31400</v>
      </c>
      <c r="K110" s="2" t="str">
        <f t="shared" si="29"/>
        <v>脚</v>
      </c>
      <c r="L110" s="2" t="str">
        <f t="shared" si="33"/>
        <v>3630331</v>
      </c>
      <c r="M110" s="2" t="str">
        <f>""</f>
        <v/>
      </c>
    </row>
    <row r="111" spans="1:13" x14ac:dyDescent="0.15">
      <c r="A111" s="2" t="str">
        <f t="shared" si="27"/>
        <v>1881110500</v>
      </c>
      <c r="B111" s="2" t="str">
        <f t="shared" si="28"/>
        <v>佐伯・区政調整</v>
      </c>
      <c r="C111" s="2" t="str">
        <f t="shared" si="24"/>
        <v>01ｲ00311</v>
      </c>
      <c r="D111" s="2" t="str">
        <f t="shared" si="25"/>
        <v>肘掛椅子</v>
      </c>
      <c r="E111" s="3" t="str">
        <f t="shared" si="30"/>
        <v>肘付</v>
      </c>
      <c r="F111" s="2" t="str">
        <f t="shared" si="31"/>
        <v>０００１</v>
      </c>
      <c r="G111" s="2" t="str">
        <f>"3620003203"</f>
        <v>3620003203</v>
      </c>
      <c r="H111" s="2" t="str">
        <f t="shared" si="26"/>
        <v>001</v>
      </c>
      <c r="I111" s="2" t="str">
        <f t="shared" si="32"/>
        <v>4100401</v>
      </c>
      <c r="J111" s="2">
        <f>31400</f>
        <v>31400</v>
      </c>
      <c r="K111" s="2" t="str">
        <f t="shared" si="29"/>
        <v>脚</v>
      </c>
      <c r="L111" s="2" t="str">
        <f t="shared" si="33"/>
        <v>3630331</v>
      </c>
      <c r="M111" s="2" t="str">
        <f>""</f>
        <v/>
      </c>
    </row>
    <row r="112" spans="1:13" x14ac:dyDescent="0.15">
      <c r="A112" s="2" t="str">
        <f t="shared" si="27"/>
        <v>1881110500</v>
      </c>
      <c r="B112" s="2" t="str">
        <f t="shared" si="28"/>
        <v>佐伯・区政調整</v>
      </c>
      <c r="C112" s="2" t="str">
        <f t="shared" si="24"/>
        <v>01ｲ00311</v>
      </c>
      <c r="D112" s="2" t="str">
        <f t="shared" si="25"/>
        <v>肘掛椅子</v>
      </c>
      <c r="E112" s="3" t="str">
        <f t="shared" si="30"/>
        <v>肘付</v>
      </c>
      <c r="F112" s="2" t="str">
        <f t="shared" si="31"/>
        <v>０００１</v>
      </c>
      <c r="G112" s="2" t="str">
        <f>"3620003204"</f>
        <v>3620003204</v>
      </c>
      <c r="H112" s="2" t="str">
        <f t="shared" si="26"/>
        <v>001</v>
      </c>
      <c r="I112" s="2" t="str">
        <f t="shared" si="32"/>
        <v>4100401</v>
      </c>
      <c r="J112" s="2">
        <f>31400</f>
        <v>31400</v>
      </c>
      <c r="K112" s="2" t="str">
        <f t="shared" si="29"/>
        <v>脚</v>
      </c>
      <c r="L112" s="2" t="str">
        <f t="shared" si="33"/>
        <v>3630331</v>
      </c>
      <c r="M112" s="2" t="str">
        <f>""</f>
        <v/>
      </c>
    </row>
    <row r="113" spans="1:13" x14ac:dyDescent="0.15">
      <c r="A113" s="2" t="str">
        <f t="shared" si="27"/>
        <v>1881110500</v>
      </c>
      <c r="B113" s="2" t="str">
        <f t="shared" si="28"/>
        <v>佐伯・区政調整</v>
      </c>
      <c r="C113" s="2" t="str">
        <f t="shared" si="24"/>
        <v>01ｲ00311</v>
      </c>
      <c r="D113" s="2" t="str">
        <f t="shared" si="25"/>
        <v>肘掛椅子</v>
      </c>
      <c r="E113" s="3" t="str">
        <f t="shared" si="30"/>
        <v>肘付</v>
      </c>
      <c r="F113" s="2" t="str">
        <f t="shared" si="31"/>
        <v>０００１</v>
      </c>
      <c r="G113" s="2" t="str">
        <f>"3620003205"</f>
        <v>3620003205</v>
      </c>
      <c r="H113" s="2" t="str">
        <f t="shared" si="26"/>
        <v>001</v>
      </c>
      <c r="I113" s="2" t="str">
        <f t="shared" si="32"/>
        <v>4100401</v>
      </c>
      <c r="J113" s="2">
        <f>31400</f>
        <v>31400</v>
      </c>
      <c r="K113" s="2" t="str">
        <f t="shared" si="29"/>
        <v>脚</v>
      </c>
      <c r="L113" s="2" t="str">
        <f t="shared" si="33"/>
        <v>3630331</v>
      </c>
      <c r="M113" s="2" t="str">
        <f>""</f>
        <v/>
      </c>
    </row>
    <row r="114" spans="1:13" x14ac:dyDescent="0.15">
      <c r="A114" s="2" t="str">
        <f t="shared" si="27"/>
        <v>1881110500</v>
      </c>
      <c r="B114" s="2" t="str">
        <f t="shared" si="28"/>
        <v>佐伯・区政調整</v>
      </c>
      <c r="C114" s="2" t="str">
        <f t="shared" si="24"/>
        <v>01ｲ00311</v>
      </c>
      <c r="D114" s="2" t="str">
        <f t="shared" si="25"/>
        <v>肘掛椅子</v>
      </c>
      <c r="E114" s="3" t="str">
        <f t="shared" si="30"/>
        <v>肘付</v>
      </c>
      <c r="F114" s="2" t="str">
        <f t="shared" si="31"/>
        <v>０００１</v>
      </c>
      <c r="G114" s="2" t="str">
        <f>"3620003206"</f>
        <v>3620003206</v>
      </c>
      <c r="H114" s="2" t="str">
        <f t="shared" si="26"/>
        <v>001</v>
      </c>
      <c r="I114" s="2" t="str">
        <f t="shared" si="32"/>
        <v>4100401</v>
      </c>
      <c r="J114" s="2">
        <f>31400</f>
        <v>31400</v>
      </c>
      <c r="K114" s="2" t="str">
        <f t="shared" si="29"/>
        <v>脚</v>
      </c>
      <c r="L114" s="2" t="str">
        <f t="shared" si="33"/>
        <v>3630331</v>
      </c>
      <c r="M114" s="2" t="str">
        <f>""</f>
        <v/>
      </c>
    </row>
    <row r="115" spans="1:13" x14ac:dyDescent="0.15">
      <c r="A115" s="2" t="str">
        <f t="shared" si="27"/>
        <v>1881110500</v>
      </c>
      <c r="B115" s="2" t="str">
        <f t="shared" si="28"/>
        <v>佐伯・区政調整</v>
      </c>
      <c r="C115" s="2" t="str">
        <f t="shared" si="24"/>
        <v>01ｲ00311</v>
      </c>
      <c r="D115" s="2" t="str">
        <f t="shared" si="25"/>
        <v>肘掛椅子</v>
      </c>
      <c r="E115" s="3" t="str">
        <f t="shared" si="30"/>
        <v>肘付</v>
      </c>
      <c r="F115" s="2" t="str">
        <f t="shared" si="31"/>
        <v>０００１</v>
      </c>
      <c r="G115" s="2" t="str">
        <f>"3620003207"</f>
        <v>3620003207</v>
      </c>
      <c r="H115" s="2" t="str">
        <f t="shared" si="26"/>
        <v>001</v>
      </c>
      <c r="I115" s="2" t="str">
        <f t="shared" si="32"/>
        <v>4100401</v>
      </c>
      <c r="J115" s="2">
        <f>31400</f>
        <v>31400</v>
      </c>
      <c r="K115" s="2" t="str">
        <f t="shared" si="29"/>
        <v>脚</v>
      </c>
      <c r="L115" s="2" t="str">
        <f t="shared" si="33"/>
        <v>3630331</v>
      </c>
      <c r="M115" s="2" t="str">
        <f>""</f>
        <v/>
      </c>
    </row>
    <row r="116" spans="1:13" x14ac:dyDescent="0.15">
      <c r="A116" s="2" t="str">
        <f t="shared" si="27"/>
        <v>1881110500</v>
      </c>
      <c r="B116" s="2" t="str">
        <f t="shared" si="28"/>
        <v>佐伯・区政調整</v>
      </c>
      <c r="C116" s="2" t="str">
        <f t="shared" si="24"/>
        <v>01ｲ00311</v>
      </c>
      <c r="D116" s="2" t="str">
        <f t="shared" si="25"/>
        <v>肘掛椅子</v>
      </c>
      <c r="E116" s="3" t="str">
        <f t="shared" si="30"/>
        <v>肘付</v>
      </c>
      <c r="F116" s="2" t="str">
        <f t="shared" si="31"/>
        <v>０００１</v>
      </c>
      <c r="G116" s="2" t="str">
        <f>"3620003208"</f>
        <v>3620003208</v>
      </c>
      <c r="H116" s="2" t="str">
        <f t="shared" si="26"/>
        <v>001</v>
      </c>
      <c r="I116" s="2" t="str">
        <f t="shared" si="32"/>
        <v>4100401</v>
      </c>
      <c r="J116" s="2">
        <f>31400</f>
        <v>31400</v>
      </c>
      <c r="K116" s="2" t="str">
        <f t="shared" si="29"/>
        <v>脚</v>
      </c>
      <c r="L116" s="2" t="str">
        <f t="shared" si="33"/>
        <v>3630331</v>
      </c>
      <c r="M116" s="2" t="str">
        <f>""</f>
        <v/>
      </c>
    </row>
    <row r="117" spans="1:13" x14ac:dyDescent="0.15">
      <c r="A117" s="2" t="str">
        <f t="shared" si="27"/>
        <v>1881110500</v>
      </c>
      <c r="B117" s="2" t="str">
        <f t="shared" si="28"/>
        <v>佐伯・区政調整</v>
      </c>
      <c r="C117" s="2" t="str">
        <f t="shared" si="24"/>
        <v>01ｲ00311</v>
      </c>
      <c r="D117" s="2" t="str">
        <f t="shared" si="25"/>
        <v>肘掛椅子</v>
      </c>
      <c r="E117" s="3" t="str">
        <f t="shared" si="30"/>
        <v>肘付</v>
      </c>
      <c r="F117" s="2" t="str">
        <f t="shared" si="31"/>
        <v>０００１</v>
      </c>
      <c r="G117" s="2" t="str">
        <f>"3620003209"</f>
        <v>3620003209</v>
      </c>
      <c r="H117" s="2" t="str">
        <f t="shared" si="26"/>
        <v>001</v>
      </c>
      <c r="I117" s="2" t="str">
        <f t="shared" si="32"/>
        <v>4100401</v>
      </c>
      <c r="J117" s="2">
        <f>31400</f>
        <v>31400</v>
      </c>
      <c r="K117" s="2" t="str">
        <f t="shared" si="29"/>
        <v>脚</v>
      </c>
      <c r="L117" s="2" t="str">
        <f t="shared" si="33"/>
        <v>3630331</v>
      </c>
      <c r="M117" s="2" t="str">
        <f>""</f>
        <v/>
      </c>
    </row>
    <row r="118" spans="1:13" x14ac:dyDescent="0.15">
      <c r="A118" s="2" t="str">
        <f t="shared" si="27"/>
        <v>1881110500</v>
      </c>
      <c r="B118" s="2" t="str">
        <f t="shared" si="28"/>
        <v>佐伯・区政調整</v>
      </c>
      <c r="C118" s="2" t="str">
        <f t="shared" si="24"/>
        <v>01ｲ00311</v>
      </c>
      <c r="D118" s="2" t="str">
        <f t="shared" si="25"/>
        <v>肘掛椅子</v>
      </c>
      <c r="E118" s="3" t="str">
        <f t="shared" si="30"/>
        <v>肘付</v>
      </c>
      <c r="F118" s="2" t="str">
        <f t="shared" si="31"/>
        <v>０００１</v>
      </c>
      <c r="G118" s="2" t="str">
        <f>"3620003210"</f>
        <v>3620003210</v>
      </c>
      <c r="H118" s="2" t="str">
        <f t="shared" si="26"/>
        <v>001</v>
      </c>
      <c r="I118" s="2" t="str">
        <f t="shared" si="32"/>
        <v>4100401</v>
      </c>
      <c r="J118" s="2">
        <f>31400</f>
        <v>31400</v>
      </c>
      <c r="K118" s="2" t="str">
        <f t="shared" si="29"/>
        <v>脚</v>
      </c>
      <c r="L118" s="2" t="str">
        <f t="shared" si="33"/>
        <v>3630331</v>
      </c>
      <c r="M118" s="2" t="str">
        <f>""</f>
        <v/>
      </c>
    </row>
    <row r="119" spans="1:13" x14ac:dyDescent="0.15">
      <c r="A119" s="2" t="str">
        <f t="shared" si="27"/>
        <v>1881110500</v>
      </c>
      <c r="B119" s="2" t="str">
        <f t="shared" si="28"/>
        <v>佐伯・区政調整</v>
      </c>
      <c r="C119" s="2" t="str">
        <f t="shared" si="24"/>
        <v>01ｲ00311</v>
      </c>
      <c r="D119" s="2" t="str">
        <f t="shared" si="25"/>
        <v>肘掛椅子</v>
      </c>
      <c r="E119" s="3" t="str">
        <f t="shared" si="30"/>
        <v>肘付</v>
      </c>
      <c r="F119" s="2" t="str">
        <f t="shared" si="31"/>
        <v>０００１</v>
      </c>
      <c r="G119" s="2" t="str">
        <f>"3620003211"</f>
        <v>3620003211</v>
      </c>
      <c r="H119" s="2" t="str">
        <f t="shared" si="26"/>
        <v>001</v>
      </c>
      <c r="I119" s="2" t="str">
        <f t="shared" si="32"/>
        <v>4100401</v>
      </c>
      <c r="J119" s="2">
        <f>31400</f>
        <v>31400</v>
      </c>
      <c r="K119" s="2" t="str">
        <f t="shared" si="29"/>
        <v>脚</v>
      </c>
      <c r="L119" s="2" t="str">
        <f t="shared" si="33"/>
        <v>3630331</v>
      </c>
      <c r="M119" s="2" t="str">
        <f>""</f>
        <v/>
      </c>
    </row>
    <row r="120" spans="1:13" x14ac:dyDescent="0.15">
      <c r="A120" s="2" t="str">
        <f t="shared" si="27"/>
        <v>1881110500</v>
      </c>
      <c r="B120" s="2" t="str">
        <f t="shared" si="28"/>
        <v>佐伯・区政調整</v>
      </c>
      <c r="C120" s="2" t="str">
        <f t="shared" si="24"/>
        <v>01ｲ00311</v>
      </c>
      <c r="D120" s="2" t="str">
        <f t="shared" si="25"/>
        <v>肘掛椅子</v>
      </c>
      <c r="E120" s="3" t="str">
        <f t="shared" si="30"/>
        <v>肘付</v>
      </c>
      <c r="F120" s="2" t="str">
        <f t="shared" si="31"/>
        <v>０００１</v>
      </c>
      <c r="G120" s="2" t="str">
        <f>"3620003212"</f>
        <v>3620003212</v>
      </c>
      <c r="H120" s="2" t="str">
        <f t="shared" si="26"/>
        <v>001</v>
      </c>
      <c r="I120" s="2" t="str">
        <f t="shared" si="32"/>
        <v>4100401</v>
      </c>
      <c r="J120" s="2">
        <f>31400</f>
        <v>31400</v>
      </c>
      <c r="K120" s="2" t="str">
        <f t="shared" si="29"/>
        <v>脚</v>
      </c>
      <c r="L120" s="2" t="str">
        <f t="shared" si="33"/>
        <v>3630331</v>
      </c>
      <c r="M120" s="2" t="str">
        <f>""</f>
        <v/>
      </c>
    </row>
    <row r="121" spans="1:13" x14ac:dyDescent="0.15">
      <c r="A121" s="2" t="str">
        <f t="shared" si="27"/>
        <v>1881110500</v>
      </c>
      <c r="B121" s="2" t="str">
        <f t="shared" si="28"/>
        <v>佐伯・区政調整</v>
      </c>
      <c r="C121" s="2" t="str">
        <f t="shared" si="24"/>
        <v>01ｲ00311</v>
      </c>
      <c r="D121" s="2" t="str">
        <f t="shared" si="25"/>
        <v>肘掛椅子</v>
      </c>
      <c r="E121" s="3" t="str">
        <f t="shared" si="30"/>
        <v>肘付</v>
      </c>
      <c r="F121" s="2" t="str">
        <f t="shared" si="31"/>
        <v>０００１</v>
      </c>
      <c r="G121" s="2" t="str">
        <f>"3620003213"</f>
        <v>3620003213</v>
      </c>
      <c r="H121" s="2" t="str">
        <f t="shared" si="26"/>
        <v>001</v>
      </c>
      <c r="I121" s="2" t="str">
        <f t="shared" si="32"/>
        <v>4100401</v>
      </c>
      <c r="J121" s="2">
        <f>31400</f>
        <v>31400</v>
      </c>
      <c r="K121" s="2" t="str">
        <f t="shared" si="29"/>
        <v>脚</v>
      </c>
      <c r="L121" s="2" t="str">
        <f t="shared" si="33"/>
        <v>3630331</v>
      </c>
      <c r="M121" s="2" t="str">
        <f>""</f>
        <v/>
      </c>
    </row>
    <row r="122" spans="1:13" x14ac:dyDescent="0.15">
      <c r="A122" s="2" t="str">
        <f t="shared" si="27"/>
        <v>1881110500</v>
      </c>
      <c r="B122" s="2" t="str">
        <f t="shared" si="28"/>
        <v>佐伯・区政調整</v>
      </c>
      <c r="C122" s="2" t="str">
        <f t="shared" si="24"/>
        <v>01ｲ00311</v>
      </c>
      <c r="D122" s="2" t="str">
        <f t="shared" si="25"/>
        <v>肘掛椅子</v>
      </c>
      <c r="E122" s="3" t="str">
        <f t="shared" si="30"/>
        <v>肘付</v>
      </c>
      <c r="F122" s="2" t="str">
        <f t="shared" si="31"/>
        <v>０００１</v>
      </c>
      <c r="G122" s="2" t="str">
        <f>"3620003214"</f>
        <v>3620003214</v>
      </c>
      <c r="H122" s="2" t="str">
        <f t="shared" si="26"/>
        <v>001</v>
      </c>
      <c r="I122" s="2" t="str">
        <f t="shared" si="32"/>
        <v>4100401</v>
      </c>
      <c r="J122" s="2">
        <f>31400</f>
        <v>31400</v>
      </c>
      <c r="K122" s="2" t="str">
        <f t="shared" si="29"/>
        <v>脚</v>
      </c>
      <c r="L122" s="2" t="str">
        <f t="shared" si="33"/>
        <v>3630331</v>
      </c>
      <c r="M122" s="2" t="str">
        <f>""</f>
        <v/>
      </c>
    </row>
    <row r="123" spans="1:13" x14ac:dyDescent="0.15">
      <c r="A123" s="2" t="str">
        <f t="shared" si="27"/>
        <v>1881110500</v>
      </c>
      <c r="B123" s="2" t="str">
        <f t="shared" si="28"/>
        <v>佐伯・区政調整</v>
      </c>
      <c r="C123" s="2" t="str">
        <f t="shared" si="24"/>
        <v>01ｲ00311</v>
      </c>
      <c r="D123" s="2" t="str">
        <f t="shared" si="25"/>
        <v>肘掛椅子</v>
      </c>
      <c r="E123" s="3" t="str">
        <f t="shared" si="30"/>
        <v>肘付</v>
      </c>
      <c r="F123" s="2" t="str">
        <f t="shared" si="31"/>
        <v>０００１</v>
      </c>
      <c r="G123" s="2" t="str">
        <f>"3620003215"</f>
        <v>3620003215</v>
      </c>
      <c r="H123" s="2" t="str">
        <f t="shared" si="26"/>
        <v>001</v>
      </c>
      <c r="I123" s="2" t="str">
        <f t="shared" si="32"/>
        <v>4100401</v>
      </c>
      <c r="J123" s="2">
        <f>31400</f>
        <v>31400</v>
      </c>
      <c r="K123" s="2" t="str">
        <f t="shared" si="29"/>
        <v>脚</v>
      </c>
      <c r="L123" s="2" t="str">
        <f t="shared" si="33"/>
        <v>3630331</v>
      </c>
      <c r="M123" s="2" t="str">
        <f>""</f>
        <v/>
      </c>
    </row>
    <row r="124" spans="1:13" x14ac:dyDescent="0.15">
      <c r="A124" s="2" t="str">
        <f t="shared" si="27"/>
        <v>1881110500</v>
      </c>
      <c r="B124" s="2" t="str">
        <f t="shared" si="28"/>
        <v>佐伯・区政調整</v>
      </c>
      <c r="C124" s="2" t="str">
        <f t="shared" si="24"/>
        <v>01ｲ00311</v>
      </c>
      <c r="D124" s="2" t="str">
        <f t="shared" si="25"/>
        <v>肘掛椅子</v>
      </c>
      <c r="E124" s="3" t="str">
        <f t="shared" si="30"/>
        <v>肘付</v>
      </c>
      <c r="F124" s="2" t="str">
        <f t="shared" si="31"/>
        <v>０００１</v>
      </c>
      <c r="G124" s="2" t="str">
        <f>"3620003216"</f>
        <v>3620003216</v>
      </c>
      <c r="H124" s="2" t="str">
        <f t="shared" si="26"/>
        <v>001</v>
      </c>
      <c r="I124" s="2" t="str">
        <f t="shared" si="32"/>
        <v>4100401</v>
      </c>
      <c r="J124" s="2">
        <f>31400</f>
        <v>31400</v>
      </c>
      <c r="K124" s="2" t="str">
        <f t="shared" si="29"/>
        <v>脚</v>
      </c>
      <c r="L124" s="2" t="str">
        <f t="shared" si="33"/>
        <v>3630331</v>
      </c>
      <c r="M124" s="2" t="str">
        <f>""</f>
        <v/>
      </c>
    </row>
    <row r="125" spans="1:13" x14ac:dyDescent="0.15">
      <c r="A125" s="2" t="str">
        <f t="shared" si="27"/>
        <v>1881110500</v>
      </c>
      <c r="B125" s="2" t="str">
        <f t="shared" si="28"/>
        <v>佐伯・区政調整</v>
      </c>
      <c r="C125" s="2" t="str">
        <f t="shared" si="24"/>
        <v>01ｲ00311</v>
      </c>
      <c r="D125" s="2" t="str">
        <f t="shared" si="25"/>
        <v>肘掛椅子</v>
      </c>
      <c r="E125" s="3" t="str">
        <f t="shared" si="30"/>
        <v>肘付</v>
      </c>
      <c r="F125" s="2" t="str">
        <f t="shared" si="31"/>
        <v>０００１</v>
      </c>
      <c r="G125" s="2" t="str">
        <f>"3620003217"</f>
        <v>3620003217</v>
      </c>
      <c r="H125" s="2" t="str">
        <f t="shared" si="26"/>
        <v>001</v>
      </c>
      <c r="I125" s="2" t="str">
        <f t="shared" si="32"/>
        <v>4100401</v>
      </c>
      <c r="J125" s="2">
        <f>31400</f>
        <v>31400</v>
      </c>
      <c r="K125" s="2" t="str">
        <f t="shared" si="29"/>
        <v>脚</v>
      </c>
      <c r="L125" s="2" t="str">
        <f t="shared" si="33"/>
        <v>3630331</v>
      </c>
      <c r="M125" s="2" t="str">
        <f>""</f>
        <v/>
      </c>
    </row>
    <row r="126" spans="1:13" x14ac:dyDescent="0.15">
      <c r="A126" s="2" t="str">
        <f t="shared" si="27"/>
        <v>1881110500</v>
      </c>
      <c r="B126" s="2" t="str">
        <f t="shared" si="28"/>
        <v>佐伯・区政調整</v>
      </c>
      <c r="C126" s="2" t="str">
        <f t="shared" si="24"/>
        <v>01ｲ00311</v>
      </c>
      <c r="D126" s="2" t="str">
        <f t="shared" si="25"/>
        <v>肘掛椅子</v>
      </c>
      <c r="E126" s="3" t="str">
        <f t="shared" si="30"/>
        <v>肘付</v>
      </c>
      <c r="F126" s="2" t="str">
        <f t="shared" si="31"/>
        <v>０００１</v>
      </c>
      <c r="G126" s="2" t="str">
        <f>"3620003218"</f>
        <v>3620003218</v>
      </c>
      <c r="H126" s="2" t="str">
        <f t="shared" si="26"/>
        <v>001</v>
      </c>
      <c r="I126" s="2" t="str">
        <f t="shared" si="32"/>
        <v>4100401</v>
      </c>
      <c r="J126" s="2">
        <f>31400</f>
        <v>31400</v>
      </c>
      <c r="K126" s="2" t="str">
        <f t="shared" si="29"/>
        <v>脚</v>
      </c>
      <c r="L126" s="2" t="str">
        <f t="shared" si="33"/>
        <v>3630331</v>
      </c>
      <c r="M126" s="2" t="str">
        <f>""</f>
        <v/>
      </c>
    </row>
    <row r="127" spans="1:13" x14ac:dyDescent="0.15">
      <c r="A127" s="2" t="str">
        <f t="shared" si="27"/>
        <v>1881110500</v>
      </c>
      <c r="B127" s="2" t="str">
        <f t="shared" si="28"/>
        <v>佐伯・区政調整</v>
      </c>
      <c r="C127" s="2" t="str">
        <f t="shared" si="24"/>
        <v>01ｲ00311</v>
      </c>
      <c r="D127" s="2" t="str">
        <f t="shared" si="25"/>
        <v>肘掛椅子</v>
      </c>
      <c r="E127" s="3" t="str">
        <f t="shared" si="30"/>
        <v>肘付</v>
      </c>
      <c r="F127" s="2" t="str">
        <f t="shared" si="31"/>
        <v>０００１</v>
      </c>
      <c r="G127" s="2" t="str">
        <f>"3620003219"</f>
        <v>3620003219</v>
      </c>
      <c r="H127" s="2" t="str">
        <f t="shared" si="26"/>
        <v>001</v>
      </c>
      <c r="I127" s="2" t="str">
        <f t="shared" si="32"/>
        <v>4100401</v>
      </c>
      <c r="J127" s="2">
        <f>31400</f>
        <v>31400</v>
      </c>
      <c r="K127" s="2" t="str">
        <f t="shared" si="29"/>
        <v>脚</v>
      </c>
      <c r="L127" s="2" t="str">
        <f t="shared" si="33"/>
        <v>3630331</v>
      </c>
      <c r="M127" s="2" t="str">
        <f>""</f>
        <v/>
      </c>
    </row>
    <row r="128" spans="1:13" x14ac:dyDescent="0.15">
      <c r="A128" s="2" t="str">
        <f t="shared" si="27"/>
        <v>1881110500</v>
      </c>
      <c r="B128" s="2" t="str">
        <f t="shared" si="28"/>
        <v>佐伯・区政調整</v>
      </c>
      <c r="C128" s="2" t="str">
        <f t="shared" si="24"/>
        <v>01ｲ00311</v>
      </c>
      <c r="D128" s="2" t="str">
        <f t="shared" si="25"/>
        <v>肘掛椅子</v>
      </c>
      <c r="E128" s="3" t="str">
        <f t="shared" si="30"/>
        <v>肘付</v>
      </c>
      <c r="F128" s="2" t="str">
        <f t="shared" si="31"/>
        <v>０００１</v>
      </c>
      <c r="G128" s="2" t="str">
        <f>"3620003220"</f>
        <v>3620003220</v>
      </c>
      <c r="H128" s="2" t="str">
        <f t="shared" si="26"/>
        <v>001</v>
      </c>
      <c r="I128" s="2" t="str">
        <f t="shared" si="32"/>
        <v>4100401</v>
      </c>
      <c r="J128" s="2">
        <f>31400</f>
        <v>31400</v>
      </c>
      <c r="K128" s="2" t="str">
        <f t="shared" si="29"/>
        <v>脚</v>
      </c>
      <c r="L128" s="2" t="str">
        <f t="shared" si="33"/>
        <v>3630331</v>
      </c>
      <c r="M128" s="2" t="str">
        <f>""</f>
        <v/>
      </c>
    </row>
    <row r="129" spans="1:13" x14ac:dyDescent="0.15">
      <c r="A129" s="2" t="str">
        <f t="shared" si="27"/>
        <v>1881110500</v>
      </c>
      <c r="B129" s="2" t="str">
        <f t="shared" si="28"/>
        <v>佐伯・区政調整</v>
      </c>
      <c r="C129" s="2" t="str">
        <f t="shared" si="24"/>
        <v>01ｲ00311</v>
      </c>
      <c r="D129" s="2" t="str">
        <f t="shared" si="25"/>
        <v>肘掛椅子</v>
      </c>
      <c r="E129" s="3" t="str">
        <f t="shared" si="30"/>
        <v>肘付</v>
      </c>
      <c r="F129" s="2" t="str">
        <f t="shared" si="31"/>
        <v>０００１</v>
      </c>
      <c r="G129" s="2" t="str">
        <f>"3620003221"</f>
        <v>3620003221</v>
      </c>
      <c r="H129" s="2" t="str">
        <f t="shared" si="26"/>
        <v>001</v>
      </c>
      <c r="I129" s="2" t="str">
        <f t="shared" si="32"/>
        <v>4100401</v>
      </c>
      <c r="J129" s="2">
        <f>31400</f>
        <v>31400</v>
      </c>
      <c r="K129" s="2" t="str">
        <f t="shared" si="29"/>
        <v>脚</v>
      </c>
      <c r="L129" s="2" t="str">
        <f t="shared" si="33"/>
        <v>3630331</v>
      </c>
      <c r="M129" s="2" t="str">
        <f>""</f>
        <v/>
      </c>
    </row>
    <row r="130" spans="1:13" x14ac:dyDescent="0.15">
      <c r="A130" s="2" t="str">
        <f t="shared" si="27"/>
        <v>1881110500</v>
      </c>
      <c r="B130" s="2" t="str">
        <f t="shared" si="28"/>
        <v>佐伯・区政調整</v>
      </c>
      <c r="C130" s="2" t="str">
        <f t="shared" si="24"/>
        <v>01ｲ00311</v>
      </c>
      <c r="D130" s="2" t="str">
        <f t="shared" si="25"/>
        <v>肘掛椅子</v>
      </c>
      <c r="E130" s="3" t="str">
        <f t="shared" si="30"/>
        <v>肘付</v>
      </c>
      <c r="F130" s="2" t="str">
        <f t="shared" si="31"/>
        <v>０００１</v>
      </c>
      <c r="G130" s="2" t="str">
        <f>"3620003222"</f>
        <v>3620003222</v>
      </c>
      <c r="H130" s="2" t="str">
        <f t="shared" si="26"/>
        <v>001</v>
      </c>
      <c r="I130" s="2" t="str">
        <f t="shared" si="32"/>
        <v>4100401</v>
      </c>
      <c r="J130" s="2">
        <f>31400</f>
        <v>31400</v>
      </c>
      <c r="K130" s="2" t="str">
        <f t="shared" si="29"/>
        <v>脚</v>
      </c>
      <c r="L130" s="2" t="str">
        <f t="shared" si="33"/>
        <v>3630331</v>
      </c>
      <c r="M130" s="2" t="str">
        <f>""</f>
        <v/>
      </c>
    </row>
    <row r="131" spans="1:13" x14ac:dyDescent="0.15">
      <c r="A131" s="2" t="str">
        <f t="shared" si="27"/>
        <v>1881110500</v>
      </c>
      <c r="B131" s="2" t="str">
        <f t="shared" si="28"/>
        <v>佐伯・区政調整</v>
      </c>
      <c r="C131" s="2" t="str">
        <f t="shared" si="24"/>
        <v>01ｲ00311</v>
      </c>
      <c r="D131" s="2" t="str">
        <f t="shared" si="25"/>
        <v>肘掛椅子</v>
      </c>
      <c r="E131" s="3" t="str">
        <f t="shared" si="30"/>
        <v>肘付</v>
      </c>
      <c r="F131" s="2" t="str">
        <f t="shared" si="31"/>
        <v>０００１</v>
      </c>
      <c r="G131" s="2" t="str">
        <f>"3620003223"</f>
        <v>3620003223</v>
      </c>
      <c r="H131" s="2" t="str">
        <f t="shared" si="26"/>
        <v>001</v>
      </c>
      <c r="I131" s="2" t="str">
        <f t="shared" si="32"/>
        <v>4100401</v>
      </c>
      <c r="J131" s="2">
        <f>31400</f>
        <v>31400</v>
      </c>
      <c r="K131" s="2" t="str">
        <f t="shared" si="29"/>
        <v>脚</v>
      </c>
      <c r="L131" s="2" t="str">
        <f t="shared" si="33"/>
        <v>3630331</v>
      </c>
      <c r="M131" s="2" t="str">
        <f>""</f>
        <v/>
      </c>
    </row>
    <row r="132" spans="1:13" x14ac:dyDescent="0.15">
      <c r="A132" s="2" t="str">
        <f t="shared" si="27"/>
        <v>1881110500</v>
      </c>
      <c r="B132" s="2" t="str">
        <f t="shared" si="28"/>
        <v>佐伯・区政調整</v>
      </c>
      <c r="C132" s="2" t="str">
        <f t="shared" si="24"/>
        <v>01ｲ00311</v>
      </c>
      <c r="D132" s="2" t="str">
        <f t="shared" si="25"/>
        <v>肘掛椅子</v>
      </c>
      <c r="E132" s="3" t="str">
        <f t="shared" si="30"/>
        <v>肘付</v>
      </c>
      <c r="F132" s="2" t="str">
        <f t="shared" si="31"/>
        <v>０００１</v>
      </c>
      <c r="G132" s="2" t="str">
        <f>"3620003224"</f>
        <v>3620003224</v>
      </c>
      <c r="H132" s="2" t="str">
        <f t="shared" si="26"/>
        <v>001</v>
      </c>
      <c r="I132" s="2" t="str">
        <f t="shared" si="32"/>
        <v>4100401</v>
      </c>
      <c r="J132" s="2">
        <f>31400</f>
        <v>31400</v>
      </c>
      <c r="K132" s="2" t="str">
        <f t="shared" si="29"/>
        <v>脚</v>
      </c>
      <c r="L132" s="2" t="str">
        <f t="shared" si="33"/>
        <v>3630331</v>
      </c>
      <c r="M132" s="2" t="str">
        <f>""</f>
        <v/>
      </c>
    </row>
    <row r="133" spans="1:13" x14ac:dyDescent="0.15">
      <c r="A133" s="2" t="str">
        <f t="shared" si="27"/>
        <v>1881110500</v>
      </c>
      <c r="B133" s="2" t="str">
        <f t="shared" si="28"/>
        <v>佐伯・区政調整</v>
      </c>
      <c r="C133" s="2" t="str">
        <f t="shared" si="24"/>
        <v>01ｲ00311</v>
      </c>
      <c r="D133" s="2" t="str">
        <f t="shared" si="25"/>
        <v>肘掛椅子</v>
      </c>
      <c r="E133" s="3" t="str">
        <f t="shared" si="30"/>
        <v>肘付</v>
      </c>
      <c r="F133" s="2" t="str">
        <f t="shared" si="31"/>
        <v>０００１</v>
      </c>
      <c r="G133" s="2" t="str">
        <f>"3620003225"</f>
        <v>3620003225</v>
      </c>
      <c r="H133" s="2" t="str">
        <f t="shared" si="26"/>
        <v>001</v>
      </c>
      <c r="I133" s="2" t="str">
        <f t="shared" si="32"/>
        <v>4100401</v>
      </c>
      <c r="J133" s="2">
        <f>31400</f>
        <v>31400</v>
      </c>
      <c r="K133" s="2" t="str">
        <f t="shared" si="29"/>
        <v>脚</v>
      </c>
      <c r="L133" s="2" t="str">
        <f t="shared" si="33"/>
        <v>3630331</v>
      </c>
      <c r="M133" s="2" t="str">
        <f>""</f>
        <v/>
      </c>
    </row>
    <row r="134" spans="1:13" x14ac:dyDescent="0.15">
      <c r="A134" s="2" t="str">
        <f t="shared" si="27"/>
        <v>1881110500</v>
      </c>
      <c r="B134" s="2" t="str">
        <f t="shared" si="28"/>
        <v>佐伯・区政調整</v>
      </c>
      <c r="C134" s="2" t="str">
        <f t="shared" si="24"/>
        <v>01ｲ00311</v>
      </c>
      <c r="D134" s="2" t="str">
        <f t="shared" si="25"/>
        <v>肘掛椅子</v>
      </c>
      <c r="E134" s="3" t="str">
        <f t="shared" si="30"/>
        <v>肘付</v>
      </c>
      <c r="F134" s="2" t="str">
        <f t="shared" si="31"/>
        <v>０００１</v>
      </c>
      <c r="G134" s="2" t="str">
        <f>"3620003226"</f>
        <v>3620003226</v>
      </c>
      <c r="H134" s="2" t="str">
        <f t="shared" si="26"/>
        <v>001</v>
      </c>
      <c r="I134" s="2" t="str">
        <f t="shared" si="32"/>
        <v>4100401</v>
      </c>
      <c r="J134" s="2">
        <f>31400</f>
        <v>31400</v>
      </c>
      <c r="K134" s="2" t="str">
        <f t="shared" si="29"/>
        <v>脚</v>
      </c>
      <c r="L134" s="2" t="str">
        <f t="shared" si="33"/>
        <v>3630331</v>
      </c>
      <c r="M134" s="2" t="str">
        <f>""</f>
        <v/>
      </c>
    </row>
    <row r="135" spans="1:13" x14ac:dyDescent="0.15">
      <c r="A135" s="2" t="str">
        <f t="shared" si="27"/>
        <v>1881110500</v>
      </c>
      <c r="B135" s="2" t="str">
        <f t="shared" si="28"/>
        <v>佐伯・区政調整</v>
      </c>
      <c r="C135" s="2" t="str">
        <f t="shared" si="24"/>
        <v>01ｲ00311</v>
      </c>
      <c r="D135" s="2" t="str">
        <f t="shared" si="25"/>
        <v>肘掛椅子</v>
      </c>
      <c r="E135" s="3" t="str">
        <f t="shared" si="30"/>
        <v>肘付</v>
      </c>
      <c r="F135" s="2" t="str">
        <f t="shared" si="31"/>
        <v>０００１</v>
      </c>
      <c r="G135" s="2" t="str">
        <f>"3620003227"</f>
        <v>3620003227</v>
      </c>
      <c r="H135" s="2" t="str">
        <f t="shared" si="26"/>
        <v>001</v>
      </c>
      <c r="I135" s="2" t="str">
        <f t="shared" si="32"/>
        <v>4100401</v>
      </c>
      <c r="J135" s="2">
        <f>31400</f>
        <v>31400</v>
      </c>
      <c r="K135" s="2" t="str">
        <f t="shared" si="29"/>
        <v>脚</v>
      </c>
      <c r="L135" s="2" t="str">
        <f t="shared" si="33"/>
        <v>3630331</v>
      </c>
      <c r="M135" s="2" t="str">
        <f>""</f>
        <v/>
      </c>
    </row>
    <row r="136" spans="1:13" x14ac:dyDescent="0.15">
      <c r="A136" s="2" t="str">
        <f t="shared" si="27"/>
        <v>1881110500</v>
      </c>
      <c r="B136" s="2" t="str">
        <f t="shared" si="28"/>
        <v>佐伯・区政調整</v>
      </c>
      <c r="C136" s="2" t="str">
        <f t="shared" si="24"/>
        <v>01ｲ00311</v>
      </c>
      <c r="D136" s="2" t="str">
        <f t="shared" si="25"/>
        <v>肘掛椅子</v>
      </c>
      <c r="E136" s="3" t="str">
        <f t="shared" si="30"/>
        <v>肘付</v>
      </c>
      <c r="F136" s="2" t="str">
        <f t="shared" si="31"/>
        <v>０００１</v>
      </c>
      <c r="G136" s="2" t="str">
        <f>"3620003228"</f>
        <v>3620003228</v>
      </c>
      <c r="H136" s="2" t="str">
        <f t="shared" si="26"/>
        <v>001</v>
      </c>
      <c r="I136" s="2" t="str">
        <f t="shared" si="32"/>
        <v>4100401</v>
      </c>
      <c r="J136" s="2">
        <f>31400</f>
        <v>31400</v>
      </c>
      <c r="K136" s="2" t="str">
        <f t="shared" si="29"/>
        <v>脚</v>
      </c>
      <c r="L136" s="2" t="str">
        <f t="shared" si="33"/>
        <v>3630331</v>
      </c>
      <c r="M136" s="2" t="str">
        <f>""</f>
        <v/>
      </c>
    </row>
    <row r="137" spans="1:13" x14ac:dyDescent="0.15">
      <c r="A137" s="2" t="str">
        <f t="shared" si="27"/>
        <v>1881110500</v>
      </c>
      <c r="B137" s="2" t="str">
        <f t="shared" si="28"/>
        <v>佐伯・区政調整</v>
      </c>
      <c r="C137" s="2" t="str">
        <f t="shared" si="24"/>
        <v>01ｲ00311</v>
      </c>
      <c r="D137" s="2" t="str">
        <f t="shared" si="25"/>
        <v>肘掛椅子</v>
      </c>
      <c r="E137" s="3" t="str">
        <f t="shared" si="30"/>
        <v>肘付</v>
      </c>
      <c r="F137" s="2" t="str">
        <f t="shared" si="31"/>
        <v>０００１</v>
      </c>
      <c r="G137" s="2" t="str">
        <f>"3620003229"</f>
        <v>3620003229</v>
      </c>
      <c r="H137" s="2" t="str">
        <f t="shared" si="26"/>
        <v>001</v>
      </c>
      <c r="I137" s="2" t="str">
        <f t="shared" si="32"/>
        <v>4100401</v>
      </c>
      <c r="J137" s="2">
        <f>31400</f>
        <v>31400</v>
      </c>
      <c r="K137" s="2" t="str">
        <f t="shared" si="29"/>
        <v>脚</v>
      </c>
      <c r="L137" s="2" t="str">
        <f t="shared" si="33"/>
        <v>3630331</v>
      </c>
      <c r="M137" s="2" t="str">
        <f>""</f>
        <v/>
      </c>
    </row>
    <row r="138" spans="1:13" x14ac:dyDescent="0.15">
      <c r="A138" s="2" t="str">
        <f t="shared" si="27"/>
        <v>1881110500</v>
      </c>
      <c r="B138" s="2" t="str">
        <f t="shared" si="28"/>
        <v>佐伯・区政調整</v>
      </c>
      <c r="C138" s="2" t="str">
        <f t="shared" ref="C138:C201" si="34">"01ｲ00311"</f>
        <v>01ｲ00311</v>
      </c>
      <c r="D138" s="2" t="str">
        <f t="shared" ref="D138:D201" si="35">"肘掛椅子"</f>
        <v>肘掛椅子</v>
      </c>
      <c r="E138" s="3" t="str">
        <f t="shared" si="30"/>
        <v>肘付</v>
      </c>
      <c r="F138" s="2" t="str">
        <f t="shared" si="31"/>
        <v>０００１</v>
      </c>
      <c r="G138" s="2" t="str">
        <f>"3620003230"</f>
        <v>3620003230</v>
      </c>
      <c r="H138" s="2" t="str">
        <f t="shared" ref="H138:H201" si="36">"001"</f>
        <v>001</v>
      </c>
      <c r="I138" s="2" t="str">
        <f t="shared" si="32"/>
        <v>4100401</v>
      </c>
      <c r="J138" s="2">
        <f>31400</f>
        <v>31400</v>
      </c>
      <c r="K138" s="2" t="str">
        <f t="shared" si="29"/>
        <v>脚</v>
      </c>
      <c r="L138" s="2" t="str">
        <f t="shared" si="33"/>
        <v>3630331</v>
      </c>
      <c r="M138" s="2" t="str">
        <f>""</f>
        <v/>
      </c>
    </row>
    <row r="139" spans="1:13" x14ac:dyDescent="0.15">
      <c r="A139" s="2" t="str">
        <f t="shared" si="27"/>
        <v>1881110500</v>
      </c>
      <c r="B139" s="2" t="str">
        <f t="shared" si="28"/>
        <v>佐伯・区政調整</v>
      </c>
      <c r="C139" s="2" t="str">
        <f t="shared" si="34"/>
        <v>01ｲ00311</v>
      </c>
      <c r="D139" s="2" t="str">
        <f t="shared" si="35"/>
        <v>肘掛椅子</v>
      </c>
      <c r="E139" s="3" t="str">
        <f t="shared" si="30"/>
        <v>肘付</v>
      </c>
      <c r="F139" s="2" t="str">
        <f t="shared" si="31"/>
        <v>０００１</v>
      </c>
      <c r="G139" s="2" t="str">
        <f>"3620003231"</f>
        <v>3620003231</v>
      </c>
      <c r="H139" s="2" t="str">
        <f t="shared" si="36"/>
        <v>001</v>
      </c>
      <c r="I139" s="2" t="str">
        <f t="shared" si="32"/>
        <v>4100401</v>
      </c>
      <c r="J139" s="2">
        <f>31400</f>
        <v>31400</v>
      </c>
      <c r="K139" s="2" t="str">
        <f t="shared" si="29"/>
        <v>脚</v>
      </c>
      <c r="L139" s="2" t="str">
        <f t="shared" si="33"/>
        <v>3630331</v>
      </c>
      <c r="M139" s="2" t="str">
        <f>""</f>
        <v/>
      </c>
    </row>
    <row r="140" spans="1:13" x14ac:dyDescent="0.15">
      <c r="A140" s="2" t="str">
        <f t="shared" si="27"/>
        <v>1881110500</v>
      </c>
      <c r="B140" s="2" t="str">
        <f t="shared" si="28"/>
        <v>佐伯・区政調整</v>
      </c>
      <c r="C140" s="2" t="str">
        <f t="shared" si="34"/>
        <v>01ｲ00311</v>
      </c>
      <c r="D140" s="2" t="str">
        <f t="shared" si="35"/>
        <v>肘掛椅子</v>
      </c>
      <c r="E140" s="3" t="str">
        <f t="shared" si="30"/>
        <v>肘付</v>
      </c>
      <c r="F140" s="2" t="str">
        <f t="shared" si="31"/>
        <v>０００１</v>
      </c>
      <c r="G140" s="2" t="str">
        <f>"3620003232"</f>
        <v>3620003232</v>
      </c>
      <c r="H140" s="2" t="str">
        <f t="shared" si="36"/>
        <v>001</v>
      </c>
      <c r="I140" s="2" t="str">
        <f t="shared" si="32"/>
        <v>4100401</v>
      </c>
      <c r="J140" s="2">
        <f>31400</f>
        <v>31400</v>
      </c>
      <c r="K140" s="2" t="str">
        <f t="shared" si="29"/>
        <v>脚</v>
      </c>
      <c r="L140" s="2" t="str">
        <f t="shared" si="33"/>
        <v>3630331</v>
      </c>
      <c r="M140" s="2" t="str">
        <f>""</f>
        <v/>
      </c>
    </row>
    <row r="141" spans="1:13" x14ac:dyDescent="0.15">
      <c r="A141" s="2" t="str">
        <f t="shared" si="27"/>
        <v>1881110500</v>
      </c>
      <c r="B141" s="2" t="str">
        <f t="shared" si="28"/>
        <v>佐伯・区政調整</v>
      </c>
      <c r="C141" s="2" t="str">
        <f t="shared" si="34"/>
        <v>01ｲ00311</v>
      </c>
      <c r="D141" s="2" t="str">
        <f t="shared" si="35"/>
        <v>肘掛椅子</v>
      </c>
      <c r="E141" s="3" t="str">
        <f t="shared" si="30"/>
        <v>肘付</v>
      </c>
      <c r="F141" s="2" t="str">
        <f t="shared" si="31"/>
        <v>０００１</v>
      </c>
      <c r="G141" s="2" t="str">
        <f>"3620003233"</f>
        <v>3620003233</v>
      </c>
      <c r="H141" s="2" t="str">
        <f t="shared" si="36"/>
        <v>001</v>
      </c>
      <c r="I141" s="2" t="str">
        <f t="shared" si="32"/>
        <v>4100401</v>
      </c>
      <c r="J141" s="2">
        <f>31400</f>
        <v>31400</v>
      </c>
      <c r="K141" s="2" t="str">
        <f t="shared" si="29"/>
        <v>脚</v>
      </c>
      <c r="L141" s="2" t="str">
        <f t="shared" si="33"/>
        <v>3630331</v>
      </c>
      <c r="M141" s="2" t="str">
        <f>""</f>
        <v/>
      </c>
    </row>
    <row r="142" spans="1:13" x14ac:dyDescent="0.15">
      <c r="A142" s="2" t="str">
        <f t="shared" si="27"/>
        <v>1881110500</v>
      </c>
      <c r="B142" s="2" t="str">
        <f t="shared" si="28"/>
        <v>佐伯・区政調整</v>
      </c>
      <c r="C142" s="2" t="str">
        <f t="shared" si="34"/>
        <v>01ｲ00311</v>
      </c>
      <c r="D142" s="2" t="str">
        <f t="shared" si="35"/>
        <v>肘掛椅子</v>
      </c>
      <c r="E142" s="3" t="str">
        <f t="shared" si="30"/>
        <v>肘付</v>
      </c>
      <c r="F142" s="2" t="str">
        <f t="shared" si="31"/>
        <v>０００１</v>
      </c>
      <c r="G142" s="2" t="str">
        <f>"3620003234"</f>
        <v>3620003234</v>
      </c>
      <c r="H142" s="2" t="str">
        <f t="shared" si="36"/>
        <v>001</v>
      </c>
      <c r="I142" s="2" t="str">
        <f t="shared" si="32"/>
        <v>4100401</v>
      </c>
      <c r="J142" s="2">
        <f>31400</f>
        <v>31400</v>
      </c>
      <c r="K142" s="2" t="str">
        <f t="shared" si="29"/>
        <v>脚</v>
      </c>
      <c r="L142" s="2" t="str">
        <f t="shared" si="33"/>
        <v>3630331</v>
      </c>
      <c r="M142" s="2" t="str">
        <f>""</f>
        <v/>
      </c>
    </row>
    <row r="143" spans="1:13" x14ac:dyDescent="0.15">
      <c r="A143" s="2" t="str">
        <f t="shared" si="27"/>
        <v>1881110500</v>
      </c>
      <c r="B143" s="2" t="str">
        <f t="shared" si="28"/>
        <v>佐伯・区政調整</v>
      </c>
      <c r="C143" s="2" t="str">
        <f t="shared" si="34"/>
        <v>01ｲ00311</v>
      </c>
      <c r="D143" s="2" t="str">
        <f t="shared" si="35"/>
        <v>肘掛椅子</v>
      </c>
      <c r="E143" s="3" t="str">
        <f t="shared" si="30"/>
        <v>肘付</v>
      </c>
      <c r="F143" s="2" t="str">
        <f t="shared" si="31"/>
        <v>０００１</v>
      </c>
      <c r="G143" s="2" t="str">
        <f>"3620003235"</f>
        <v>3620003235</v>
      </c>
      <c r="H143" s="2" t="str">
        <f t="shared" si="36"/>
        <v>001</v>
      </c>
      <c r="I143" s="2" t="str">
        <f t="shared" si="32"/>
        <v>4100401</v>
      </c>
      <c r="J143" s="2">
        <f>31400</f>
        <v>31400</v>
      </c>
      <c r="K143" s="2" t="str">
        <f t="shared" si="29"/>
        <v>脚</v>
      </c>
      <c r="L143" s="2" t="str">
        <f t="shared" si="33"/>
        <v>3630331</v>
      </c>
      <c r="M143" s="2" t="str">
        <f>""</f>
        <v/>
      </c>
    </row>
    <row r="144" spans="1:13" x14ac:dyDescent="0.15">
      <c r="A144" s="2" t="str">
        <f t="shared" si="27"/>
        <v>1881110500</v>
      </c>
      <c r="B144" s="2" t="str">
        <f t="shared" si="28"/>
        <v>佐伯・区政調整</v>
      </c>
      <c r="C144" s="2" t="str">
        <f t="shared" si="34"/>
        <v>01ｲ00311</v>
      </c>
      <c r="D144" s="2" t="str">
        <f t="shared" si="35"/>
        <v>肘掛椅子</v>
      </c>
      <c r="E144" s="3" t="str">
        <f t="shared" si="30"/>
        <v>肘付</v>
      </c>
      <c r="F144" s="2" t="str">
        <f t="shared" si="31"/>
        <v>０００１</v>
      </c>
      <c r="G144" s="2" t="str">
        <f>"3620003236"</f>
        <v>3620003236</v>
      </c>
      <c r="H144" s="2" t="str">
        <f t="shared" si="36"/>
        <v>001</v>
      </c>
      <c r="I144" s="2" t="str">
        <f t="shared" si="32"/>
        <v>4100401</v>
      </c>
      <c r="J144" s="2">
        <f>31400</f>
        <v>31400</v>
      </c>
      <c r="K144" s="2" t="str">
        <f t="shared" si="29"/>
        <v>脚</v>
      </c>
      <c r="L144" s="2" t="str">
        <f t="shared" si="33"/>
        <v>3630331</v>
      </c>
      <c r="M144" s="2" t="str">
        <f>""</f>
        <v/>
      </c>
    </row>
    <row r="145" spans="1:13" x14ac:dyDescent="0.15">
      <c r="A145" s="2" t="str">
        <f t="shared" si="27"/>
        <v>1881110500</v>
      </c>
      <c r="B145" s="2" t="str">
        <f t="shared" si="28"/>
        <v>佐伯・区政調整</v>
      </c>
      <c r="C145" s="2" t="str">
        <f t="shared" si="34"/>
        <v>01ｲ00311</v>
      </c>
      <c r="D145" s="2" t="str">
        <f t="shared" si="35"/>
        <v>肘掛椅子</v>
      </c>
      <c r="E145" s="3" t="str">
        <f t="shared" si="30"/>
        <v>肘付</v>
      </c>
      <c r="F145" s="2" t="str">
        <f t="shared" si="31"/>
        <v>０００１</v>
      </c>
      <c r="G145" s="2" t="str">
        <f>"3620003237"</f>
        <v>3620003237</v>
      </c>
      <c r="H145" s="2" t="str">
        <f t="shared" si="36"/>
        <v>001</v>
      </c>
      <c r="I145" s="2" t="str">
        <f t="shared" si="32"/>
        <v>4100401</v>
      </c>
      <c r="J145" s="2">
        <f>31400</f>
        <v>31400</v>
      </c>
      <c r="K145" s="2" t="str">
        <f t="shared" si="29"/>
        <v>脚</v>
      </c>
      <c r="L145" s="2" t="str">
        <f t="shared" si="33"/>
        <v>3630331</v>
      </c>
      <c r="M145" s="2" t="str">
        <f>""</f>
        <v/>
      </c>
    </row>
    <row r="146" spans="1:13" x14ac:dyDescent="0.15">
      <c r="A146" s="2" t="str">
        <f t="shared" si="27"/>
        <v>1881110500</v>
      </c>
      <c r="B146" s="2" t="str">
        <f t="shared" si="28"/>
        <v>佐伯・区政調整</v>
      </c>
      <c r="C146" s="2" t="str">
        <f t="shared" si="34"/>
        <v>01ｲ00311</v>
      </c>
      <c r="D146" s="2" t="str">
        <f t="shared" si="35"/>
        <v>肘掛椅子</v>
      </c>
      <c r="E146" s="3" t="str">
        <f t="shared" si="30"/>
        <v>肘付</v>
      </c>
      <c r="F146" s="2" t="str">
        <f t="shared" si="31"/>
        <v>０００１</v>
      </c>
      <c r="G146" s="2" t="str">
        <f>"3620003238"</f>
        <v>3620003238</v>
      </c>
      <c r="H146" s="2" t="str">
        <f t="shared" si="36"/>
        <v>001</v>
      </c>
      <c r="I146" s="2" t="str">
        <f t="shared" si="32"/>
        <v>4100401</v>
      </c>
      <c r="J146" s="2">
        <f>31400</f>
        <v>31400</v>
      </c>
      <c r="K146" s="2" t="str">
        <f t="shared" si="29"/>
        <v>脚</v>
      </c>
      <c r="L146" s="2" t="str">
        <f t="shared" si="33"/>
        <v>3630331</v>
      </c>
      <c r="M146" s="2" t="str">
        <f>""</f>
        <v/>
      </c>
    </row>
    <row r="147" spans="1:13" x14ac:dyDescent="0.15">
      <c r="A147" s="2" t="str">
        <f t="shared" si="27"/>
        <v>1881110500</v>
      </c>
      <c r="B147" s="2" t="str">
        <f t="shared" si="28"/>
        <v>佐伯・区政調整</v>
      </c>
      <c r="C147" s="2" t="str">
        <f t="shared" si="34"/>
        <v>01ｲ00311</v>
      </c>
      <c r="D147" s="2" t="str">
        <f t="shared" si="35"/>
        <v>肘掛椅子</v>
      </c>
      <c r="E147" s="3" t="str">
        <f t="shared" si="30"/>
        <v>肘付</v>
      </c>
      <c r="F147" s="2" t="str">
        <f t="shared" si="31"/>
        <v>０００１</v>
      </c>
      <c r="G147" s="2" t="str">
        <f>"3620003239"</f>
        <v>3620003239</v>
      </c>
      <c r="H147" s="2" t="str">
        <f t="shared" si="36"/>
        <v>001</v>
      </c>
      <c r="I147" s="2" t="str">
        <f t="shared" si="32"/>
        <v>4100401</v>
      </c>
      <c r="J147" s="2">
        <f>31400</f>
        <v>31400</v>
      </c>
      <c r="K147" s="2" t="str">
        <f t="shared" si="29"/>
        <v>脚</v>
      </c>
      <c r="L147" s="2" t="str">
        <f t="shared" si="33"/>
        <v>3630331</v>
      </c>
      <c r="M147" s="2" t="str">
        <f>""</f>
        <v/>
      </c>
    </row>
    <row r="148" spans="1:13" x14ac:dyDescent="0.15">
      <c r="A148" s="2" t="str">
        <f t="shared" si="27"/>
        <v>1881110500</v>
      </c>
      <c r="B148" s="2" t="str">
        <f t="shared" si="28"/>
        <v>佐伯・区政調整</v>
      </c>
      <c r="C148" s="2" t="str">
        <f t="shared" si="34"/>
        <v>01ｲ00311</v>
      </c>
      <c r="D148" s="2" t="str">
        <f t="shared" si="35"/>
        <v>肘掛椅子</v>
      </c>
      <c r="E148" s="3" t="str">
        <f t="shared" si="30"/>
        <v>肘付</v>
      </c>
      <c r="F148" s="2" t="str">
        <f t="shared" si="31"/>
        <v>０００１</v>
      </c>
      <c r="G148" s="2" t="str">
        <f>"3620003240"</f>
        <v>3620003240</v>
      </c>
      <c r="H148" s="2" t="str">
        <f t="shared" si="36"/>
        <v>001</v>
      </c>
      <c r="I148" s="2" t="str">
        <f t="shared" si="32"/>
        <v>4100401</v>
      </c>
      <c r="J148" s="2">
        <f>31400</f>
        <v>31400</v>
      </c>
      <c r="K148" s="2" t="str">
        <f t="shared" si="29"/>
        <v>脚</v>
      </c>
      <c r="L148" s="2" t="str">
        <f t="shared" si="33"/>
        <v>3630331</v>
      </c>
      <c r="M148" s="2" t="str">
        <f>""</f>
        <v/>
      </c>
    </row>
    <row r="149" spans="1:13" x14ac:dyDescent="0.15">
      <c r="A149" s="2" t="str">
        <f t="shared" si="27"/>
        <v>1881110500</v>
      </c>
      <c r="B149" s="2" t="str">
        <f t="shared" si="28"/>
        <v>佐伯・区政調整</v>
      </c>
      <c r="C149" s="2" t="str">
        <f t="shared" si="34"/>
        <v>01ｲ00311</v>
      </c>
      <c r="D149" s="2" t="str">
        <f t="shared" si="35"/>
        <v>肘掛椅子</v>
      </c>
      <c r="E149" s="3" t="str">
        <f t="shared" si="30"/>
        <v>肘付</v>
      </c>
      <c r="F149" s="2" t="str">
        <f t="shared" si="31"/>
        <v>０００１</v>
      </c>
      <c r="G149" s="2" t="str">
        <f>"3620003241"</f>
        <v>3620003241</v>
      </c>
      <c r="H149" s="2" t="str">
        <f t="shared" si="36"/>
        <v>001</v>
      </c>
      <c r="I149" s="2" t="str">
        <f t="shared" si="32"/>
        <v>4100401</v>
      </c>
      <c r="J149" s="2">
        <f>31400</f>
        <v>31400</v>
      </c>
      <c r="K149" s="2" t="str">
        <f t="shared" si="29"/>
        <v>脚</v>
      </c>
      <c r="L149" s="2" t="str">
        <f t="shared" si="33"/>
        <v>3630331</v>
      </c>
      <c r="M149" s="2" t="str">
        <f>""</f>
        <v/>
      </c>
    </row>
    <row r="150" spans="1:13" x14ac:dyDescent="0.15">
      <c r="A150" s="2" t="str">
        <f t="shared" si="27"/>
        <v>1881110500</v>
      </c>
      <c r="B150" s="2" t="str">
        <f t="shared" si="28"/>
        <v>佐伯・区政調整</v>
      </c>
      <c r="C150" s="2" t="str">
        <f t="shared" si="34"/>
        <v>01ｲ00311</v>
      </c>
      <c r="D150" s="2" t="str">
        <f t="shared" si="35"/>
        <v>肘掛椅子</v>
      </c>
      <c r="E150" s="3" t="str">
        <f t="shared" si="30"/>
        <v>肘付</v>
      </c>
      <c r="F150" s="2" t="str">
        <f t="shared" si="31"/>
        <v>０００１</v>
      </c>
      <c r="G150" s="2" t="str">
        <f>"3620003242"</f>
        <v>3620003242</v>
      </c>
      <c r="H150" s="2" t="str">
        <f t="shared" si="36"/>
        <v>001</v>
      </c>
      <c r="I150" s="2" t="str">
        <f t="shared" si="32"/>
        <v>4100401</v>
      </c>
      <c r="J150" s="2">
        <f>31400</f>
        <v>31400</v>
      </c>
      <c r="K150" s="2" t="str">
        <f t="shared" si="29"/>
        <v>脚</v>
      </c>
      <c r="L150" s="2" t="str">
        <f t="shared" si="33"/>
        <v>3630331</v>
      </c>
      <c r="M150" s="2" t="str">
        <f>""</f>
        <v/>
      </c>
    </row>
    <row r="151" spans="1:13" x14ac:dyDescent="0.15">
      <c r="A151" s="2" t="str">
        <f t="shared" si="27"/>
        <v>1881110500</v>
      </c>
      <c r="B151" s="2" t="str">
        <f t="shared" si="28"/>
        <v>佐伯・区政調整</v>
      </c>
      <c r="C151" s="2" t="str">
        <f t="shared" si="34"/>
        <v>01ｲ00311</v>
      </c>
      <c r="D151" s="2" t="str">
        <f t="shared" si="35"/>
        <v>肘掛椅子</v>
      </c>
      <c r="E151" s="3" t="str">
        <f t="shared" si="30"/>
        <v>肘付</v>
      </c>
      <c r="F151" s="2" t="str">
        <f t="shared" si="31"/>
        <v>０００１</v>
      </c>
      <c r="G151" s="2" t="str">
        <f>"3620003243"</f>
        <v>3620003243</v>
      </c>
      <c r="H151" s="2" t="str">
        <f t="shared" si="36"/>
        <v>001</v>
      </c>
      <c r="I151" s="2" t="str">
        <f t="shared" si="32"/>
        <v>4100401</v>
      </c>
      <c r="J151" s="2">
        <f>31400</f>
        <v>31400</v>
      </c>
      <c r="K151" s="2" t="str">
        <f t="shared" si="29"/>
        <v>脚</v>
      </c>
      <c r="L151" s="2" t="str">
        <f t="shared" si="33"/>
        <v>3630331</v>
      </c>
      <c r="M151" s="2" t="str">
        <f>""</f>
        <v/>
      </c>
    </row>
    <row r="152" spans="1:13" x14ac:dyDescent="0.15">
      <c r="A152" s="2" t="str">
        <f t="shared" si="27"/>
        <v>1881110500</v>
      </c>
      <c r="B152" s="2" t="str">
        <f t="shared" si="28"/>
        <v>佐伯・区政調整</v>
      </c>
      <c r="C152" s="2" t="str">
        <f t="shared" si="34"/>
        <v>01ｲ00311</v>
      </c>
      <c r="D152" s="2" t="str">
        <f t="shared" si="35"/>
        <v>肘掛椅子</v>
      </c>
      <c r="E152" s="3" t="str">
        <f t="shared" si="30"/>
        <v>肘付</v>
      </c>
      <c r="F152" s="2" t="str">
        <f t="shared" si="31"/>
        <v>０００１</v>
      </c>
      <c r="G152" s="2" t="str">
        <f>"3620003244"</f>
        <v>3620003244</v>
      </c>
      <c r="H152" s="2" t="str">
        <f t="shared" si="36"/>
        <v>001</v>
      </c>
      <c r="I152" s="2" t="str">
        <f t="shared" si="32"/>
        <v>4100401</v>
      </c>
      <c r="J152" s="2">
        <f>31400</f>
        <v>31400</v>
      </c>
      <c r="K152" s="2" t="str">
        <f t="shared" si="29"/>
        <v>脚</v>
      </c>
      <c r="L152" s="2" t="str">
        <f t="shared" si="33"/>
        <v>3630331</v>
      </c>
      <c r="M152" s="2" t="str">
        <f>""</f>
        <v/>
      </c>
    </row>
    <row r="153" spans="1:13" x14ac:dyDescent="0.15">
      <c r="A153" s="2" t="str">
        <f t="shared" si="27"/>
        <v>1881110500</v>
      </c>
      <c r="B153" s="2" t="str">
        <f t="shared" si="28"/>
        <v>佐伯・区政調整</v>
      </c>
      <c r="C153" s="2" t="str">
        <f t="shared" si="34"/>
        <v>01ｲ00311</v>
      </c>
      <c r="D153" s="2" t="str">
        <f t="shared" si="35"/>
        <v>肘掛椅子</v>
      </c>
      <c r="E153" s="3" t="str">
        <f t="shared" si="30"/>
        <v>肘付</v>
      </c>
      <c r="F153" s="2" t="str">
        <f t="shared" si="31"/>
        <v>０００１</v>
      </c>
      <c r="G153" s="2" t="str">
        <f>"3620003245"</f>
        <v>3620003245</v>
      </c>
      <c r="H153" s="2" t="str">
        <f t="shared" si="36"/>
        <v>001</v>
      </c>
      <c r="I153" s="2" t="str">
        <f t="shared" si="32"/>
        <v>4100401</v>
      </c>
      <c r="J153" s="2">
        <f>31400</f>
        <v>31400</v>
      </c>
      <c r="K153" s="2" t="str">
        <f t="shared" si="29"/>
        <v>脚</v>
      </c>
      <c r="L153" s="2" t="str">
        <f t="shared" si="33"/>
        <v>3630331</v>
      </c>
      <c r="M153" s="2" t="str">
        <f>""</f>
        <v/>
      </c>
    </row>
    <row r="154" spans="1:13" x14ac:dyDescent="0.15">
      <c r="A154" s="2" t="str">
        <f t="shared" ref="A154:A217" si="37">"1881110500"</f>
        <v>1881110500</v>
      </c>
      <c r="B154" s="2" t="str">
        <f t="shared" ref="B154:B217" si="38">"佐伯・区政調整"</f>
        <v>佐伯・区政調整</v>
      </c>
      <c r="C154" s="2" t="str">
        <f t="shared" si="34"/>
        <v>01ｲ00311</v>
      </c>
      <c r="D154" s="2" t="str">
        <f t="shared" si="35"/>
        <v>肘掛椅子</v>
      </c>
      <c r="E154" s="3" t="str">
        <f t="shared" si="30"/>
        <v>肘付</v>
      </c>
      <c r="F154" s="2" t="str">
        <f t="shared" si="31"/>
        <v>０００１</v>
      </c>
      <c r="G154" s="2" t="str">
        <f>"3620003246"</f>
        <v>3620003246</v>
      </c>
      <c r="H154" s="2" t="str">
        <f t="shared" si="36"/>
        <v>001</v>
      </c>
      <c r="I154" s="2" t="str">
        <f t="shared" si="32"/>
        <v>4100401</v>
      </c>
      <c r="J154" s="2">
        <f>31400</f>
        <v>31400</v>
      </c>
      <c r="K154" s="2" t="str">
        <f t="shared" ref="K154:K217" si="39">"脚"</f>
        <v>脚</v>
      </c>
      <c r="L154" s="2" t="str">
        <f t="shared" si="33"/>
        <v>3630331</v>
      </c>
      <c r="M154" s="2" t="str">
        <f>""</f>
        <v/>
      </c>
    </row>
    <row r="155" spans="1:13" x14ac:dyDescent="0.15">
      <c r="A155" s="2" t="str">
        <f t="shared" si="37"/>
        <v>1881110500</v>
      </c>
      <c r="B155" s="2" t="str">
        <f t="shared" si="38"/>
        <v>佐伯・区政調整</v>
      </c>
      <c r="C155" s="2" t="str">
        <f t="shared" si="34"/>
        <v>01ｲ00311</v>
      </c>
      <c r="D155" s="2" t="str">
        <f t="shared" si="35"/>
        <v>肘掛椅子</v>
      </c>
      <c r="E155" s="3" t="str">
        <f t="shared" si="30"/>
        <v>肘付</v>
      </c>
      <c r="F155" s="2" t="str">
        <f t="shared" si="31"/>
        <v>０００１</v>
      </c>
      <c r="G155" s="2" t="str">
        <f>"3620003247"</f>
        <v>3620003247</v>
      </c>
      <c r="H155" s="2" t="str">
        <f t="shared" si="36"/>
        <v>001</v>
      </c>
      <c r="I155" s="2" t="str">
        <f t="shared" si="32"/>
        <v>4100401</v>
      </c>
      <c r="J155" s="2">
        <f>31400</f>
        <v>31400</v>
      </c>
      <c r="K155" s="2" t="str">
        <f t="shared" si="39"/>
        <v>脚</v>
      </c>
      <c r="L155" s="2" t="str">
        <f t="shared" si="33"/>
        <v>3630331</v>
      </c>
      <c r="M155" s="2" t="str">
        <f>""</f>
        <v/>
      </c>
    </row>
    <row r="156" spans="1:13" x14ac:dyDescent="0.15">
      <c r="A156" s="2" t="str">
        <f t="shared" si="37"/>
        <v>1881110500</v>
      </c>
      <c r="B156" s="2" t="str">
        <f t="shared" si="38"/>
        <v>佐伯・区政調整</v>
      </c>
      <c r="C156" s="2" t="str">
        <f t="shared" si="34"/>
        <v>01ｲ00311</v>
      </c>
      <c r="D156" s="2" t="str">
        <f t="shared" si="35"/>
        <v>肘掛椅子</v>
      </c>
      <c r="E156" s="3" t="str">
        <f t="shared" si="30"/>
        <v>肘付</v>
      </c>
      <c r="F156" s="2" t="str">
        <f t="shared" si="31"/>
        <v>０００１</v>
      </c>
      <c r="G156" s="2" t="str">
        <f>"3620003248"</f>
        <v>3620003248</v>
      </c>
      <c r="H156" s="2" t="str">
        <f t="shared" si="36"/>
        <v>001</v>
      </c>
      <c r="I156" s="2" t="str">
        <f t="shared" si="32"/>
        <v>4100401</v>
      </c>
      <c r="J156" s="2">
        <f>31400</f>
        <v>31400</v>
      </c>
      <c r="K156" s="2" t="str">
        <f t="shared" si="39"/>
        <v>脚</v>
      </c>
      <c r="L156" s="2" t="str">
        <f t="shared" si="33"/>
        <v>3630331</v>
      </c>
      <c r="M156" s="2" t="str">
        <f>""</f>
        <v/>
      </c>
    </row>
    <row r="157" spans="1:13" x14ac:dyDescent="0.15">
      <c r="A157" s="2" t="str">
        <f t="shared" si="37"/>
        <v>1881110500</v>
      </c>
      <c r="B157" s="2" t="str">
        <f t="shared" si="38"/>
        <v>佐伯・区政調整</v>
      </c>
      <c r="C157" s="2" t="str">
        <f t="shared" si="34"/>
        <v>01ｲ00311</v>
      </c>
      <c r="D157" s="2" t="str">
        <f t="shared" si="35"/>
        <v>肘掛椅子</v>
      </c>
      <c r="E157" s="3" t="str">
        <f t="shared" si="30"/>
        <v>肘付</v>
      </c>
      <c r="F157" s="2" t="str">
        <f t="shared" si="31"/>
        <v>０００１</v>
      </c>
      <c r="G157" s="2" t="str">
        <f>"3620003249"</f>
        <v>3620003249</v>
      </c>
      <c r="H157" s="2" t="str">
        <f t="shared" si="36"/>
        <v>001</v>
      </c>
      <c r="I157" s="2" t="str">
        <f t="shared" si="32"/>
        <v>4100401</v>
      </c>
      <c r="J157" s="2">
        <f>31400</f>
        <v>31400</v>
      </c>
      <c r="K157" s="2" t="str">
        <f t="shared" si="39"/>
        <v>脚</v>
      </c>
      <c r="L157" s="2" t="str">
        <f t="shared" si="33"/>
        <v>3630331</v>
      </c>
      <c r="M157" s="2" t="str">
        <f>""</f>
        <v/>
      </c>
    </row>
    <row r="158" spans="1:13" x14ac:dyDescent="0.15">
      <c r="A158" s="2" t="str">
        <f t="shared" si="37"/>
        <v>1881110500</v>
      </c>
      <c r="B158" s="2" t="str">
        <f t="shared" si="38"/>
        <v>佐伯・区政調整</v>
      </c>
      <c r="C158" s="2" t="str">
        <f t="shared" si="34"/>
        <v>01ｲ00311</v>
      </c>
      <c r="D158" s="2" t="str">
        <f t="shared" si="35"/>
        <v>肘掛椅子</v>
      </c>
      <c r="E158" s="3" t="str">
        <f t="shared" si="30"/>
        <v>肘付</v>
      </c>
      <c r="F158" s="2" t="str">
        <f t="shared" si="31"/>
        <v>０００１</v>
      </c>
      <c r="G158" s="2" t="str">
        <f>"3620003250"</f>
        <v>3620003250</v>
      </c>
      <c r="H158" s="2" t="str">
        <f t="shared" si="36"/>
        <v>001</v>
      </c>
      <c r="I158" s="2" t="str">
        <f t="shared" si="32"/>
        <v>4100401</v>
      </c>
      <c r="J158" s="2">
        <f>31400</f>
        <v>31400</v>
      </c>
      <c r="K158" s="2" t="str">
        <f t="shared" si="39"/>
        <v>脚</v>
      </c>
      <c r="L158" s="2" t="str">
        <f t="shared" si="33"/>
        <v>3630331</v>
      </c>
      <c r="M158" s="2" t="str">
        <f>""</f>
        <v/>
      </c>
    </row>
    <row r="159" spans="1:13" x14ac:dyDescent="0.15">
      <c r="A159" s="2" t="str">
        <f t="shared" si="37"/>
        <v>1881110500</v>
      </c>
      <c r="B159" s="2" t="str">
        <f t="shared" si="38"/>
        <v>佐伯・区政調整</v>
      </c>
      <c r="C159" s="2" t="str">
        <f t="shared" si="34"/>
        <v>01ｲ00311</v>
      </c>
      <c r="D159" s="2" t="str">
        <f t="shared" si="35"/>
        <v>肘掛椅子</v>
      </c>
      <c r="E159" s="3" t="str">
        <f t="shared" si="30"/>
        <v>肘付</v>
      </c>
      <c r="F159" s="2" t="str">
        <f t="shared" si="31"/>
        <v>０００１</v>
      </c>
      <c r="G159" s="2" t="str">
        <f>"3620003251"</f>
        <v>3620003251</v>
      </c>
      <c r="H159" s="2" t="str">
        <f t="shared" si="36"/>
        <v>001</v>
      </c>
      <c r="I159" s="2" t="str">
        <f t="shared" si="32"/>
        <v>4100401</v>
      </c>
      <c r="J159" s="2">
        <f>31400</f>
        <v>31400</v>
      </c>
      <c r="K159" s="2" t="str">
        <f t="shared" si="39"/>
        <v>脚</v>
      </c>
      <c r="L159" s="2" t="str">
        <f t="shared" si="33"/>
        <v>3630331</v>
      </c>
      <c r="M159" s="2" t="str">
        <f>""</f>
        <v/>
      </c>
    </row>
    <row r="160" spans="1:13" x14ac:dyDescent="0.15">
      <c r="A160" s="2" t="str">
        <f t="shared" si="37"/>
        <v>1881110500</v>
      </c>
      <c r="B160" s="2" t="str">
        <f t="shared" si="38"/>
        <v>佐伯・区政調整</v>
      </c>
      <c r="C160" s="2" t="str">
        <f t="shared" si="34"/>
        <v>01ｲ00311</v>
      </c>
      <c r="D160" s="2" t="str">
        <f t="shared" si="35"/>
        <v>肘掛椅子</v>
      </c>
      <c r="E160" s="3" t="str">
        <f t="shared" si="30"/>
        <v>肘付</v>
      </c>
      <c r="F160" s="2" t="str">
        <f t="shared" si="31"/>
        <v>０００１</v>
      </c>
      <c r="G160" s="2" t="str">
        <f>"3620003252"</f>
        <v>3620003252</v>
      </c>
      <c r="H160" s="2" t="str">
        <f t="shared" si="36"/>
        <v>001</v>
      </c>
      <c r="I160" s="2" t="str">
        <f t="shared" si="32"/>
        <v>4100401</v>
      </c>
      <c r="J160" s="2">
        <f>31400</f>
        <v>31400</v>
      </c>
      <c r="K160" s="2" t="str">
        <f t="shared" si="39"/>
        <v>脚</v>
      </c>
      <c r="L160" s="2" t="str">
        <f t="shared" si="33"/>
        <v>3630331</v>
      </c>
      <c r="M160" s="2" t="str">
        <f>""</f>
        <v/>
      </c>
    </row>
    <row r="161" spans="1:13" x14ac:dyDescent="0.15">
      <c r="A161" s="2" t="str">
        <f t="shared" si="37"/>
        <v>1881110500</v>
      </c>
      <c r="B161" s="2" t="str">
        <f t="shared" si="38"/>
        <v>佐伯・区政調整</v>
      </c>
      <c r="C161" s="2" t="str">
        <f t="shared" si="34"/>
        <v>01ｲ00311</v>
      </c>
      <c r="D161" s="2" t="str">
        <f t="shared" si="35"/>
        <v>肘掛椅子</v>
      </c>
      <c r="E161" s="3" t="str">
        <f t="shared" si="30"/>
        <v>肘付</v>
      </c>
      <c r="F161" s="2" t="str">
        <f t="shared" si="31"/>
        <v>０００１</v>
      </c>
      <c r="G161" s="2" t="str">
        <f>"3620003253"</f>
        <v>3620003253</v>
      </c>
      <c r="H161" s="2" t="str">
        <f t="shared" si="36"/>
        <v>001</v>
      </c>
      <c r="I161" s="2" t="str">
        <f t="shared" si="32"/>
        <v>4100401</v>
      </c>
      <c r="J161" s="2">
        <f>31400</f>
        <v>31400</v>
      </c>
      <c r="K161" s="2" t="str">
        <f t="shared" si="39"/>
        <v>脚</v>
      </c>
      <c r="L161" s="2" t="str">
        <f t="shared" si="33"/>
        <v>3630331</v>
      </c>
      <c r="M161" s="2" t="str">
        <f>""</f>
        <v/>
      </c>
    </row>
    <row r="162" spans="1:13" x14ac:dyDescent="0.15">
      <c r="A162" s="2" t="str">
        <f t="shared" si="37"/>
        <v>1881110500</v>
      </c>
      <c r="B162" s="2" t="str">
        <f t="shared" si="38"/>
        <v>佐伯・区政調整</v>
      </c>
      <c r="C162" s="2" t="str">
        <f t="shared" si="34"/>
        <v>01ｲ00311</v>
      </c>
      <c r="D162" s="2" t="str">
        <f t="shared" si="35"/>
        <v>肘掛椅子</v>
      </c>
      <c r="E162" s="3" t="str">
        <f t="shared" ref="E162:E225" si="40">"肘付"</f>
        <v>肘付</v>
      </c>
      <c r="F162" s="2" t="str">
        <f t="shared" ref="F162:F225" si="41">"０００１"</f>
        <v>０００１</v>
      </c>
      <c r="G162" s="2" t="str">
        <f>"3620003254"</f>
        <v>3620003254</v>
      </c>
      <c r="H162" s="2" t="str">
        <f t="shared" si="36"/>
        <v>001</v>
      </c>
      <c r="I162" s="2" t="str">
        <f t="shared" ref="I162:I225" si="42">"4100401"</f>
        <v>4100401</v>
      </c>
      <c r="J162" s="2">
        <f>31400</f>
        <v>31400</v>
      </c>
      <c r="K162" s="2" t="str">
        <f t="shared" si="39"/>
        <v>脚</v>
      </c>
      <c r="L162" s="2" t="str">
        <f t="shared" ref="L162:L225" si="43">"3630331"</f>
        <v>3630331</v>
      </c>
      <c r="M162" s="2" t="str">
        <f>""</f>
        <v/>
      </c>
    </row>
    <row r="163" spans="1:13" x14ac:dyDescent="0.15">
      <c r="A163" s="2" t="str">
        <f t="shared" si="37"/>
        <v>1881110500</v>
      </c>
      <c r="B163" s="2" t="str">
        <f t="shared" si="38"/>
        <v>佐伯・区政調整</v>
      </c>
      <c r="C163" s="2" t="str">
        <f t="shared" si="34"/>
        <v>01ｲ00311</v>
      </c>
      <c r="D163" s="2" t="str">
        <f t="shared" si="35"/>
        <v>肘掛椅子</v>
      </c>
      <c r="E163" s="3" t="str">
        <f t="shared" si="40"/>
        <v>肘付</v>
      </c>
      <c r="F163" s="2" t="str">
        <f t="shared" si="41"/>
        <v>０００１</v>
      </c>
      <c r="G163" s="2" t="str">
        <f>"3620003255"</f>
        <v>3620003255</v>
      </c>
      <c r="H163" s="2" t="str">
        <f t="shared" si="36"/>
        <v>001</v>
      </c>
      <c r="I163" s="2" t="str">
        <f t="shared" si="42"/>
        <v>4100401</v>
      </c>
      <c r="J163" s="2">
        <f>31400</f>
        <v>31400</v>
      </c>
      <c r="K163" s="2" t="str">
        <f t="shared" si="39"/>
        <v>脚</v>
      </c>
      <c r="L163" s="2" t="str">
        <f t="shared" si="43"/>
        <v>3630331</v>
      </c>
      <c r="M163" s="2" t="str">
        <f>""</f>
        <v/>
      </c>
    </row>
    <row r="164" spans="1:13" x14ac:dyDescent="0.15">
      <c r="A164" s="2" t="str">
        <f t="shared" si="37"/>
        <v>1881110500</v>
      </c>
      <c r="B164" s="2" t="str">
        <f t="shared" si="38"/>
        <v>佐伯・区政調整</v>
      </c>
      <c r="C164" s="2" t="str">
        <f t="shared" si="34"/>
        <v>01ｲ00311</v>
      </c>
      <c r="D164" s="2" t="str">
        <f t="shared" si="35"/>
        <v>肘掛椅子</v>
      </c>
      <c r="E164" s="3" t="str">
        <f t="shared" si="40"/>
        <v>肘付</v>
      </c>
      <c r="F164" s="2" t="str">
        <f t="shared" si="41"/>
        <v>０００１</v>
      </c>
      <c r="G164" s="2" t="str">
        <f>"3620003256"</f>
        <v>3620003256</v>
      </c>
      <c r="H164" s="2" t="str">
        <f t="shared" si="36"/>
        <v>001</v>
      </c>
      <c r="I164" s="2" t="str">
        <f t="shared" si="42"/>
        <v>4100401</v>
      </c>
      <c r="J164" s="2">
        <f>31400</f>
        <v>31400</v>
      </c>
      <c r="K164" s="2" t="str">
        <f t="shared" si="39"/>
        <v>脚</v>
      </c>
      <c r="L164" s="2" t="str">
        <f t="shared" si="43"/>
        <v>3630331</v>
      </c>
      <c r="M164" s="2" t="str">
        <f>""</f>
        <v/>
      </c>
    </row>
    <row r="165" spans="1:13" x14ac:dyDescent="0.15">
      <c r="A165" s="2" t="str">
        <f t="shared" si="37"/>
        <v>1881110500</v>
      </c>
      <c r="B165" s="2" t="str">
        <f t="shared" si="38"/>
        <v>佐伯・区政調整</v>
      </c>
      <c r="C165" s="2" t="str">
        <f t="shared" si="34"/>
        <v>01ｲ00311</v>
      </c>
      <c r="D165" s="2" t="str">
        <f t="shared" si="35"/>
        <v>肘掛椅子</v>
      </c>
      <c r="E165" s="3" t="str">
        <f t="shared" si="40"/>
        <v>肘付</v>
      </c>
      <c r="F165" s="2" t="str">
        <f t="shared" si="41"/>
        <v>０００１</v>
      </c>
      <c r="G165" s="2" t="str">
        <f>"3620003257"</f>
        <v>3620003257</v>
      </c>
      <c r="H165" s="2" t="str">
        <f t="shared" si="36"/>
        <v>001</v>
      </c>
      <c r="I165" s="2" t="str">
        <f t="shared" si="42"/>
        <v>4100401</v>
      </c>
      <c r="J165" s="2">
        <f>31400</f>
        <v>31400</v>
      </c>
      <c r="K165" s="2" t="str">
        <f t="shared" si="39"/>
        <v>脚</v>
      </c>
      <c r="L165" s="2" t="str">
        <f t="shared" si="43"/>
        <v>3630331</v>
      </c>
      <c r="M165" s="2" t="str">
        <f>""</f>
        <v/>
      </c>
    </row>
    <row r="166" spans="1:13" x14ac:dyDescent="0.15">
      <c r="A166" s="2" t="str">
        <f t="shared" si="37"/>
        <v>1881110500</v>
      </c>
      <c r="B166" s="2" t="str">
        <f t="shared" si="38"/>
        <v>佐伯・区政調整</v>
      </c>
      <c r="C166" s="2" t="str">
        <f t="shared" si="34"/>
        <v>01ｲ00311</v>
      </c>
      <c r="D166" s="2" t="str">
        <f t="shared" si="35"/>
        <v>肘掛椅子</v>
      </c>
      <c r="E166" s="3" t="str">
        <f t="shared" si="40"/>
        <v>肘付</v>
      </c>
      <c r="F166" s="2" t="str">
        <f t="shared" si="41"/>
        <v>０００１</v>
      </c>
      <c r="G166" s="2" t="str">
        <f>"3620003258"</f>
        <v>3620003258</v>
      </c>
      <c r="H166" s="2" t="str">
        <f t="shared" si="36"/>
        <v>001</v>
      </c>
      <c r="I166" s="2" t="str">
        <f t="shared" si="42"/>
        <v>4100401</v>
      </c>
      <c r="J166" s="2">
        <f>31400</f>
        <v>31400</v>
      </c>
      <c r="K166" s="2" t="str">
        <f t="shared" si="39"/>
        <v>脚</v>
      </c>
      <c r="L166" s="2" t="str">
        <f t="shared" si="43"/>
        <v>3630331</v>
      </c>
      <c r="M166" s="2" t="str">
        <f>""</f>
        <v/>
      </c>
    </row>
    <row r="167" spans="1:13" x14ac:dyDescent="0.15">
      <c r="A167" s="2" t="str">
        <f t="shared" si="37"/>
        <v>1881110500</v>
      </c>
      <c r="B167" s="2" t="str">
        <f t="shared" si="38"/>
        <v>佐伯・区政調整</v>
      </c>
      <c r="C167" s="2" t="str">
        <f t="shared" si="34"/>
        <v>01ｲ00311</v>
      </c>
      <c r="D167" s="2" t="str">
        <f t="shared" si="35"/>
        <v>肘掛椅子</v>
      </c>
      <c r="E167" s="3" t="str">
        <f t="shared" si="40"/>
        <v>肘付</v>
      </c>
      <c r="F167" s="2" t="str">
        <f t="shared" si="41"/>
        <v>０００１</v>
      </c>
      <c r="G167" s="2" t="str">
        <f>"3620003259"</f>
        <v>3620003259</v>
      </c>
      <c r="H167" s="2" t="str">
        <f t="shared" si="36"/>
        <v>001</v>
      </c>
      <c r="I167" s="2" t="str">
        <f t="shared" si="42"/>
        <v>4100401</v>
      </c>
      <c r="J167" s="2">
        <f>31400</f>
        <v>31400</v>
      </c>
      <c r="K167" s="2" t="str">
        <f t="shared" si="39"/>
        <v>脚</v>
      </c>
      <c r="L167" s="2" t="str">
        <f t="shared" si="43"/>
        <v>3630331</v>
      </c>
      <c r="M167" s="2" t="str">
        <f>""</f>
        <v/>
      </c>
    </row>
    <row r="168" spans="1:13" x14ac:dyDescent="0.15">
      <c r="A168" s="2" t="str">
        <f t="shared" si="37"/>
        <v>1881110500</v>
      </c>
      <c r="B168" s="2" t="str">
        <f t="shared" si="38"/>
        <v>佐伯・区政調整</v>
      </c>
      <c r="C168" s="2" t="str">
        <f t="shared" si="34"/>
        <v>01ｲ00311</v>
      </c>
      <c r="D168" s="2" t="str">
        <f t="shared" si="35"/>
        <v>肘掛椅子</v>
      </c>
      <c r="E168" s="3" t="str">
        <f t="shared" si="40"/>
        <v>肘付</v>
      </c>
      <c r="F168" s="2" t="str">
        <f t="shared" si="41"/>
        <v>０００１</v>
      </c>
      <c r="G168" s="2" t="str">
        <f>"3620003260"</f>
        <v>3620003260</v>
      </c>
      <c r="H168" s="2" t="str">
        <f t="shared" si="36"/>
        <v>001</v>
      </c>
      <c r="I168" s="2" t="str">
        <f t="shared" si="42"/>
        <v>4100401</v>
      </c>
      <c r="J168" s="2">
        <f>31400</f>
        <v>31400</v>
      </c>
      <c r="K168" s="2" t="str">
        <f t="shared" si="39"/>
        <v>脚</v>
      </c>
      <c r="L168" s="2" t="str">
        <f t="shared" si="43"/>
        <v>3630331</v>
      </c>
      <c r="M168" s="2" t="str">
        <f>""</f>
        <v/>
      </c>
    </row>
    <row r="169" spans="1:13" x14ac:dyDescent="0.15">
      <c r="A169" s="2" t="str">
        <f t="shared" si="37"/>
        <v>1881110500</v>
      </c>
      <c r="B169" s="2" t="str">
        <f t="shared" si="38"/>
        <v>佐伯・区政調整</v>
      </c>
      <c r="C169" s="2" t="str">
        <f t="shared" si="34"/>
        <v>01ｲ00311</v>
      </c>
      <c r="D169" s="2" t="str">
        <f t="shared" si="35"/>
        <v>肘掛椅子</v>
      </c>
      <c r="E169" s="3" t="str">
        <f t="shared" si="40"/>
        <v>肘付</v>
      </c>
      <c r="F169" s="2" t="str">
        <f t="shared" si="41"/>
        <v>０００１</v>
      </c>
      <c r="G169" s="2" t="str">
        <f>"3620003261"</f>
        <v>3620003261</v>
      </c>
      <c r="H169" s="2" t="str">
        <f t="shared" si="36"/>
        <v>001</v>
      </c>
      <c r="I169" s="2" t="str">
        <f t="shared" si="42"/>
        <v>4100401</v>
      </c>
      <c r="J169" s="2">
        <f>31400</f>
        <v>31400</v>
      </c>
      <c r="K169" s="2" t="str">
        <f t="shared" si="39"/>
        <v>脚</v>
      </c>
      <c r="L169" s="2" t="str">
        <f t="shared" si="43"/>
        <v>3630331</v>
      </c>
      <c r="M169" s="2" t="str">
        <f>""</f>
        <v/>
      </c>
    </row>
    <row r="170" spans="1:13" x14ac:dyDescent="0.15">
      <c r="A170" s="2" t="str">
        <f t="shared" si="37"/>
        <v>1881110500</v>
      </c>
      <c r="B170" s="2" t="str">
        <f t="shared" si="38"/>
        <v>佐伯・区政調整</v>
      </c>
      <c r="C170" s="2" t="str">
        <f t="shared" si="34"/>
        <v>01ｲ00311</v>
      </c>
      <c r="D170" s="2" t="str">
        <f t="shared" si="35"/>
        <v>肘掛椅子</v>
      </c>
      <c r="E170" s="3" t="str">
        <f t="shared" si="40"/>
        <v>肘付</v>
      </c>
      <c r="F170" s="2" t="str">
        <f t="shared" si="41"/>
        <v>０００１</v>
      </c>
      <c r="G170" s="2" t="str">
        <f>"3620003262"</f>
        <v>3620003262</v>
      </c>
      <c r="H170" s="2" t="str">
        <f t="shared" si="36"/>
        <v>001</v>
      </c>
      <c r="I170" s="2" t="str">
        <f t="shared" si="42"/>
        <v>4100401</v>
      </c>
      <c r="J170" s="2">
        <f>31400</f>
        <v>31400</v>
      </c>
      <c r="K170" s="2" t="str">
        <f t="shared" si="39"/>
        <v>脚</v>
      </c>
      <c r="L170" s="2" t="str">
        <f t="shared" si="43"/>
        <v>3630331</v>
      </c>
      <c r="M170" s="2" t="str">
        <f>""</f>
        <v/>
      </c>
    </row>
    <row r="171" spans="1:13" x14ac:dyDescent="0.15">
      <c r="A171" s="2" t="str">
        <f t="shared" si="37"/>
        <v>1881110500</v>
      </c>
      <c r="B171" s="2" t="str">
        <f t="shared" si="38"/>
        <v>佐伯・区政調整</v>
      </c>
      <c r="C171" s="2" t="str">
        <f t="shared" si="34"/>
        <v>01ｲ00311</v>
      </c>
      <c r="D171" s="2" t="str">
        <f t="shared" si="35"/>
        <v>肘掛椅子</v>
      </c>
      <c r="E171" s="3" t="str">
        <f t="shared" si="40"/>
        <v>肘付</v>
      </c>
      <c r="F171" s="2" t="str">
        <f t="shared" si="41"/>
        <v>０００１</v>
      </c>
      <c r="G171" s="2" t="str">
        <f>"3620003263"</f>
        <v>3620003263</v>
      </c>
      <c r="H171" s="2" t="str">
        <f t="shared" si="36"/>
        <v>001</v>
      </c>
      <c r="I171" s="2" t="str">
        <f t="shared" si="42"/>
        <v>4100401</v>
      </c>
      <c r="J171" s="2">
        <f>31400</f>
        <v>31400</v>
      </c>
      <c r="K171" s="2" t="str">
        <f t="shared" si="39"/>
        <v>脚</v>
      </c>
      <c r="L171" s="2" t="str">
        <f t="shared" si="43"/>
        <v>3630331</v>
      </c>
      <c r="M171" s="2" t="str">
        <f>""</f>
        <v/>
      </c>
    </row>
    <row r="172" spans="1:13" x14ac:dyDescent="0.15">
      <c r="A172" s="2" t="str">
        <f t="shared" si="37"/>
        <v>1881110500</v>
      </c>
      <c r="B172" s="2" t="str">
        <f t="shared" si="38"/>
        <v>佐伯・区政調整</v>
      </c>
      <c r="C172" s="2" t="str">
        <f t="shared" si="34"/>
        <v>01ｲ00311</v>
      </c>
      <c r="D172" s="2" t="str">
        <f t="shared" si="35"/>
        <v>肘掛椅子</v>
      </c>
      <c r="E172" s="3" t="str">
        <f t="shared" si="40"/>
        <v>肘付</v>
      </c>
      <c r="F172" s="2" t="str">
        <f t="shared" si="41"/>
        <v>０００１</v>
      </c>
      <c r="G172" s="2" t="str">
        <f>"3620003264"</f>
        <v>3620003264</v>
      </c>
      <c r="H172" s="2" t="str">
        <f t="shared" si="36"/>
        <v>001</v>
      </c>
      <c r="I172" s="2" t="str">
        <f t="shared" si="42"/>
        <v>4100401</v>
      </c>
      <c r="J172" s="2">
        <f>31400</f>
        <v>31400</v>
      </c>
      <c r="K172" s="2" t="str">
        <f t="shared" si="39"/>
        <v>脚</v>
      </c>
      <c r="L172" s="2" t="str">
        <f t="shared" si="43"/>
        <v>3630331</v>
      </c>
      <c r="M172" s="2" t="str">
        <f>""</f>
        <v/>
      </c>
    </row>
    <row r="173" spans="1:13" x14ac:dyDescent="0.15">
      <c r="A173" s="2" t="str">
        <f t="shared" si="37"/>
        <v>1881110500</v>
      </c>
      <c r="B173" s="2" t="str">
        <f t="shared" si="38"/>
        <v>佐伯・区政調整</v>
      </c>
      <c r="C173" s="2" t="str">
        <f t="shared" si="34"/>
        <v>01ｲ00311</v>
      </c>
      <c r="D173" s="2" t="str">
        <f t="shared" si="35"/>
        <v>肘掛椅子</v>
      </c>
      <c r="E173" s="3" t="str">
        <f t="shared" si="40"/>
        <v>肘付</v>
      </c>
      <c r="F173" s="2" t="str">
        <f t="shared" si="41"/>
        <v>０００１</v>
      </c>
      <c r="G173" s="2" t="str">
        <f>"3620003265"</f>
        <v>3620003265</v>
      </c>
      <c r="H173" s="2" t="str">
        <f t="shared" si="36"/>
        <v>001</v>
      </c>
      <c r="I173" s="2" t="str">
        <f t="shared" si="42"/>
        <v>4100401</v>
      </c>
      <c r="J173" s="2">
        <f>31400</f>
        <v>31400</v>
      </c>
      <c r="K173" s="2" t="str">
        <f t="shared" si="39"/>
        <v>脚</v>
      </c>
      <c r="L173" s="2" t="str">
        <f t="shared" si="43"/>
        <v>3630331</v>
      </c>
      <c r="M173" s="2" t="str">
        <f>""</f>
        <v/>
      </c>
    </row>
    <row r="174" spans="1:13" x14ac:dyDescent="0.15">
      <c r="A174" s="2" t="str">
        <f t="shared" si="37"/>
        <v>1881110500</v>
      </c>
      <c r="B174" s="2" t="str">
        <f t="shared" si="38"/>
        <v>佐伯・区政調整</v>
      </c>
      <c r="C174" s="2" t="str">
        <f t="shared" si="34"/>
        <v>01ｲ00311</v>
      </c>
      <c r="D174" s="2" t="str">
        <f t="shared" si="35"/>
        <v>肘掛椅子</v>
      </c>
      <c r="E174" s="3" t="str">
        <f t="shared" si="40"/>
        <v>肘付</v>
      </c>
      <c r="F174" s="2" t="str">
        <f t="shared" si="41"/>
        <v>０００１</v>
      </c>
      <c r="G174" s="2" t="str">
        <f>"3620003266"</f>
        <v>3620003266</v>
      </c>
      <c r="H174" s="2" t="str">
        <f t="shared" si="36"/>
        <v>001</v>
      </c>
      <c r="I174" s="2" t="str">
        <f t="shared" si="42"/>
        <v>4100401</v>
      </c>
      <c r="J174" s="2">
        <f>31400</f>
        <v>31400</v>
      </c>
      <c r="K174" s="2" t="str">
        <f t="shared" si="39"/>
        <v>脚</v>
      </c>
      <c r="L174" s="2" t="str">
        <f t="shared" si="43"/>
        <v>3630331</v>
      </c>
      <c r="M174" s="2" t="str">
        <f>""</f>
        <v/>
      </c>
    </row>
    <row r="175" spans="1:13" x14ac:dyDescent="0.15">
      <c r="A175" s="2" t="str">
        <f t="shared" si="37"/>
        <v>1881110500</v>
      </c>
      <c r="B175" s="2" t="str">
        <f t="shared" si="38"/>
        <v>佐伯・区政調整</v>
      </c>
      <c r="C175" s="2" t="str">
        <f t="shared" si="34"/>
        <v>01ｲ00311</v>
      </c>
      <c r="D175" s="2" t="str">
        <f t="shared" si="35"/>
        <v>肘掛椅子</v>
      </c>
      <c r="E175" s="3" t="str">
        <f t="shared" si="40"/>
        <v>肘付</v>
      </c>
      <c r="F175" s="2" t="str">
        <f t="shared" si="41"/>
        <v>０００１</v>
      </c>
      <c r="G175" s="2" t="str">
        <f>"3620003267"</f>
        <v>3620003267</v>
      </c>
      <c r="H175" s="2" t="str">
        <f t="shared" si="36"/>
        <v>001</v>
      </c>
      <c r="I175" s="2" t="str">
        <f t="shared" si="42"/>
        <v>4100401</v>
      </c>
      <c r="J175" s="2">
        <f>31400</f>
        <v>31400</v>
      </c>
      <c r="K175" s="2" t="str">
        <f t="shared" si="39"/>
        <v>脚</v>
      </c>
      <c r="L175" s="2" t="str">
        <f t="shared" si="43"/>
        <v>3630331</v>
      </c>
      <c r="M175" s="2" t="str">
        <f>""</f>
        <v/>
      </c>
    </row>
    <row r="176" spans="1:13" x14ac:dyDescent="0.15">
      <c r="A176" s="2" t="str">
        <f t="shared" si="37"/>
        <v>1881110500</v>
      </c>
      <c r="B176" s="2" t="str">
        <f t="shared" si="38"/>
        <v>佐伯・区政調整</v>
      </c>
      <c r="C176" s="2" t="str">
        <f t="shared" si="34"/>
        <v>01ｲ00311</v>
      </c>
      <c r="D176" s="2" t="str">
        <f t="shared" si="35"/>
        <v>肘掛椅子</v>
      </c>
      <c r="E176" s="3" t="str">
        <f t="shared" si="40"/>
        <v>肘付</v>
      </c>
      <c r="F176" s="2" t="str">
        <f t="shared" si="41"/>
        <v>０００１</v>
      </c>
      <c r="G176" s="2" t="str">
        <f>"3620003268"</f>
        <v>3620003268</v>
      </c>
      <c r="H176" s="2" t="str">
        <f t="shared" si="36"/>
        <v>001</v>
      </c>
      <c r="I176" s="2" t="str">
        <f t="shared" si="42"/>
        <v>4100401</v>
      </c>
      <c r="J176" s="2">
        <f>31400</f>
        <v>31400</v>
      </c>
      <c r="K176" s="2" t="str">
        <f t="shared" si="39"/>
        <v>脚</v>
      </c>
      <c r="L176" s="2" t="str">
        <f t="shared" si="43"/>
        <v>3630331</v>
      </c>
      <c r="M176" s="2" t="str">
        <f>""</f>
        <v/>
      </c>
    </row>
    <row r="177" spans="1:13" x14ac:dyDescent="0.15">
      <c r="A177" s="2" t="str">
        <f t="shared" si="37"/>
        <v>1881110500</v>
      </c>
      <c r="B177" s="2" t="str">
        <f t="shared" si="38"/>
        <v>佐伯・区政調整</v>
      </c>
      <c r="C177" s="2" t="str">
        <f t="shared" si="34"/>
        <v>01ｲ00311</v>
      </c>
      <c r="D177" s="2" t="str">
        <f t="shared" si="35"/>
        <v>肘掛椅子</v>
      </c>
      <c r="E177" s="3" t="str">
        <f t="shared" si="40"/>
        <v>肘付</v>
      </c>
      <c r="F177" s="2" t="str">
        <f t="shared" si="41"/>
        <v>０００１</v>
      </c>
      <c r="G177" s="2" t="str">
        <f>"3620003269"</f>
        <v>3620003269</v>
      </c>
      <c r="H177" s="2" t="str">
        <f t="shared" si="36"/>
        <v>001</v>
      </c>
      <c r="I177" s="2" t="str">
        <f t="shared" si="42"/>
        <v>4100401</v>
      </c>
      <c r="J177" s="2">
        <f>31400</f>
        <v>31400</v>
      </c>
      <c r="K177" s="2" t="str">
        <f t="shared" si="39"/>
        <v>脚</v>
      </c>
      <c r="L177" s="2" t="str">
        <f t="shared" si="43"/>
        <v>3630331</v>
      </c>
      <c r="M177" s="2" t="str">
        <f>""</f>
        <v/>
      </c>
    </row>
    <row r="178" spans="1:13" x14ac:dyDescent="0.15">
      <c r="A178" s="2" t="str">
        <f t="shared" si="37"/>
        <v>1881110500</v>
      </c>
      <c r="B178" s="2" t="str">
        <f t="shared" si="38"/>
        <v>佐伯・区政調整</v>
      </c>
      <c r="C178" s="2" t="str">
        <f t="shared" si="34"/>
        <v>01ｲ00311</v>
      </c>
      <c r="D178" s="2" t="str">
        <f t="shared" si="35"/>
        <v>肘掛椅子</v>
      </c>
      <c r="E178" s="3" t="str">
        <f t="shared" si="40"/>
        <v>肘付</v>
      </c>
      <c r="F178" s="2" t="str">
        <f t="shared" si="41"/>
        <v>０００１</v>
      </c>
      <c r="G178" s="2" t="str">
        <f>"3620003270"</f>
        <v>3620003270</v>
      </c>
      <c r="H178" s="2" t="str">
        <f t="shared" si="36"/>
        <v>001</v>
      </c>
      <c r="I178" s="2" t="str">
        <f t="shared" si="42"/>
        <v>4100401</v>
      </c>
      <c r="J178" s="2">
        <f>31400</f>
        <v>31400</v>
      </c>
      <c r="K178" s="2" t="str">
        <f t="shared" si="39"/>
        <v>脚</v>
      </c>
      <c r="L178" s="2" t="str">
        <f t="shared" si="43"/>
        <v>3630331</v>
      </c>
      <c r="M178" s="2" t="str">
        <f>""</f>
        <v/>
      </c>
    </row>
    <row r="179" spans="1:13" x14ac:dyDescent="0.15">
      <c r="A179" s="2" t="str">
        <f t="shared" si="37"/>
        <v>1881110500</v>
      </c>
      <c r="B179" s="2" t="str">
        <f t="shared" si="38"/>
        <v>佐伯・区政調整</v>
      </c>
      <c r="C179" s="2" t="str">
        <f t="shared" si="34"/>
        <v>01ｲ00311</v>
      </c>
      <c r="D179" s="2" t="str">
        <f t="shared" si="35"/>
        <v>肘掛椅子</v>
      </c>
      <c r="E179" s="3" t="str">
        <f t="shared" si="40"/>
        <v>肘付</v>
      </c>
      <c r="F179" s="2" t="str">
        <f t="shared" si="41"/>
        <v>０００１</v>
      </c>
      <c r="G179" s="2" t="str">
        <f>"3620003271"</f>
        <v>3620003271</v>
      </c>
      <c r="H179" s="2" t="str">
        <f t="shared" si="36"/>
        <v>001</v>
      </c>
      <c r="I179" s="2" t="str">
        <f t="shared" si="42"/>
        <v>4100401</v>
      </c>
      <c r="J179" s="2">
        <f>31400</f>
        <v>31400</v>
      </c>
      <c r="K179" s="2" t="str">
        <f t="shared" si="39"/>
        <v>脚</v>
      </c>
      <c r="L179" s="2" t="str">
        <f t="shared" si="43"/>
        <v>3630331</v>
      </c>
      <c r="M179" s="2" t="str">
        <f>""</f>
        <v/>
      </c>
    </row>
    <row r="180" spans="1:13" x14ac:dyDescent="0.15">
      <c r="A180" s="2" t="str">
        <f t="shared" si="37"/>
        <v>1881110500</v>
      </c>
      <c r="B180" s="2" t="str">
        <f t="shared" si="38"/>
        <v>佐伯・区政調整</v>
      </c>
      <c r="C180" s="2" t="str">
        <f t="shared" si="34"/>
        <v>01ｲ00311</v>
      </c>
      <c r="D180" s="2" t="str">
        <f t="shared" si="35"/>
        <v>肘掛椅子</v>
      </c>
      <c r="E180" s="3" t="str">
        <f t="shared" si="40"/>
        <v>肘付</v>
      </c>
      <c r="F180" s="2" t="str">
        <f t="shared" si="41"/>
        <v>０００１</v>
      </c>
      <c r="G180" s="2" t="str">
        <f>"3620003272"</f>
        <v>3620003272</v>
      </c>
      <c r="H180" s="2" t="str">
        <f t="shared" si="36"/>
        <v>001</v>
      </c>
      <c r="I180" s="2" t="str">
        <f t="shared" si="42"/>
        <v>4100401</v>
      </c>
      <c r="J180" s="2">
        <f>31400</f>
        <v>31400</v>
      </c>
      <c r="K180" s="2" t="str">
        <f t="shared" si="39"/>
        <v>脚</v>
      </c>
      <c r="L180" s="2" t="str">
        <f t="shared" si="43"/>
        <v>3630331</v>
      </c>
      <c r="M180" s="2" t="str">
        <f>""</f>
        <v/>
      </c>
    </row>
    <row r="181" spans="1:13" x14ac:dyDescent="0.15">
      <c r="A181" s="2" t="str">
        <f t="shared" si="37"/>
        <v>1881110500</v>
      </c>
      <c r="B181" s="2" t="str">
        <f t="shared" si="38"/>
        <v>佐伯・区政調整</v>
      </c>
      <c r="C181" s="2" t="str">
        <f t="shared" si="34"/>
        <v>01ｲ00311</v>
      </c>
      <c r="D181" s="2" t="str">
        <f t="shared" si="35"/>
        <v>肘掛椅子</v>
      </c>
      <c r="E181" s="3" t="str">
        <f t="shared" si="40"/>
        <v>肘付</v>
      </c>
      <c r="F181" s="2" t="str">
        <f t="shared" si="41"/>
        <v>０００１</v>
      </c>
      <c r="G181" s="2" t="str">
        <f>"3620003273"</f>
        <v>3620003273</v>
      </c>
      <c r="H181" s="2" t="str">
        <f t="shared" si="36"/>
        <v>001</v>
      </c>
      <c r="I181" s="2" t="str">
        <f t="shared" si="42"/>
        <v>4100401</v>
      </c>
      <c r="J181" s="2">
        <f>31400</f>
        <v>31400</v>
      </c>
      <c r="K181" s="2" t="str">
        <f t="shared" si="39"/>
        <v>脚</v>
      </c>
      <c r="L181" s="2" t="str">
        <f t="shared" si="43"/>
        <v>3630331</v>
      </c>
      <c r="M181" s="2" t="str">
        <f>""</f>
        <v/>
      </c>
    </row>
    <row r="182" spans="1:13" x14ac:dyDescent="0.15">
      <c r="A182" s="2" t="str">
        <f t="shared" si="37"/>
        <v>1881110500</v>
      </c>
      <c r="B182" s="2" t="str">
        <f t="shared" si="38"/>
        <v>佐伯・区政調整</v>
      </c>
      <c r="C182" s="2" t="str">
        <f t="shared" si="34"/>
        <v>01ｲ00311</v>
      </c>
      <c r="D182" s="2" t="str">
        <f t="shared" si="35"/>
        <v>肘掛椅子</v>
      </c>
      <c r="E182" s="3" t="str">
        <f t="shared" si="40"/>
        <v>肘付</v>
      </c>
      <c r="F182" s="2" t="str">
        <f t="shared" si="41"/>
        <v>０００１</v>
      </c>
      <c r="G182" s="2" t="str">
        <f>"3620003274"</f>
        <v>3620003274</v>
      </c>
      <c r="H182" s="2" t="str">
        <f t="shared" si="36"/>
        <v>001</v>
      </c>
      <c r="I182" s="2" t="str">
        <f t="shared" si="42"/>
        <v>4100401</v>
      </c>
      <c r="J182" s="2">
        <f>31400</f>
        <v>31400</v>
      </c>
      <c r="K182" s="2" t="str">
        <f t="shared" si="39"/>
        <v>脚</v>
      </c>
      <c r="L182" s="2" t="str">
        <f t="shared" si="43"/>
        <v>3630331</v>
      </c>
      <c r="M182" s="2" t="str">
        <f>""</f>
        <v/>
      </c>
    </row>
    <row r="183" spans="1:13" x14ac:dyDescent="0.15">
      <c r="A183" s="2" t="str">
        <f t="shared" si="37"/>
        <v>1881110500</v>
      </c>
      <c r="B183" s="2" t="str">
        <f t="shared" si="38"/>
        <v>佐伯・区政調整</v>
      </c>
      <c r="C183" s="2" t="str">
        <f t="shared" si="34"/>
        <v>01ｲ00311</v>
      </c>
      <c r="D183" s="2" t="str">
        <f t="shared" si="35"/>
        <v>肘掛椅子</v>
      </c>
      <c r="E183" s="3" t="str">
        <f t="shared" si="40"/>
        <v>肘付</v>
      </c>
      <c r="F183" s="2" t="str">
        <f t="shared" si="41"/>
        <v>０００１</v>
      </c>
      <c r="G183" s="2" t="str">
        <f>"3620003275"</f>
        <v>3620003275</v>
      </c>
      <c r="H183" s="2" t="str">
        <f t="shared" si="36"/>
        <v>001</v>
      </c>
      <c r="I183" s="2" t="str">
        <f t="shared" si="42"/>
        <v>4100401</v>
      </c>
      <c r="J183" s="2">
        <f>31400</f>
        <v>31400</v>
      </c>
      <c r="K183" s="2" t="str">
        <f t="shared" si="39"/>
        <v>脚</v>
      </c>
      <c r="L183" s="2" t="str">
        <f t="shared" si="43"/>
        <v>3630331</v>
      </c>
      <c r="M183" s="2" t="str">
        <f>""</f>
        <v/>
      </c>
    </row>
    <row r="184" spans="1:13" x14ac:dyDescent="0.15">
      <c r="A184" s="2" t="str">
        <f t="shared" si="37"/>
        <v>1881110500</v>
      </c>
      <c r="B184" s="2" t="str">
        <f t="shared" si="38"/>
        <v>佐伯・区政調整</v>
      </c>
      <c r="C184" s="2" t="str">
        <f t="shared" si="34"/>
        <v>01ｲ00311</v>
      </c>
      <c r="D184" s="2" t="str">
        <f t="shared" si="35"/>
        <v>肘掛椅子</v>
      </c>
      <c r="E184" s="3" t="str">
        <f t="shared" si="40"/>
        <v>肘付</v>
      </c>
      <c r="F184" s="2" t="str">
        <f t="shared" si="41"/>
        <v>０００１</v>
      </c>
      <c r="G184" s="2" t="str">
        <f>"3620003276"</f>
        <v>3620003276</v>
      </c>
      <c r="H184" s="2" t="str">
        <f t="shared" si="36"/>
        <v>001</v>
      </c>
      <c r="I184" s="2" t="str">
        <f t="shared" si="42"/>
        <v>4100401</v>
      </c>
      <c r="J184" s="2">
        <f>31400</f>
        <v>31400</v>
      </c>
      <c r="K184" s="2" t="str">
        <f t="shared" si="39"/>
        <v>脚</v>
      </c>
      <c r="L184" s="2" t="str">
        <f t="shared" si="43"/>
        <v>3630331</v>
      </c>
      <c r="M184" s="2" t="str">
        <f>""</f>
        <v/>
      </c>
    </row>
    <row r="185" spans="1:13" x14ac:dyDescent="0.15">
      <c r="A185" s="2" t="str">
        <f t="shared" si="37"/>
        <v>1881110500</v>
      </c>
      <c r="B185" s="2" t="str">
        <f t="shared" si="38"/>
        <v>佐伯・区政調整</v>
      </c>
      <c r="C185" s="2" t="str">
        <f t="shared" si="34"/>
        <v>01ｲ00311</v>
      </c>
      <c r="D185" s="2" t="str">
        <f t="shared" si="35"/>
        <v>肘掛椅子</v>
      </c>
      <c r="E185" s="3" t="str">
        <f t="shared" si="40"/>
        <v>肘付</v>
      </c>
      <c r="F185" s="2" t="str">
        <f t="shared" si="41"/>
        <v>０００１</v>
      </c>
      <c r="G185" s="2" t="str">
        <f>"3620003277"</f>
        <v>3620003277</v>
      </c>
      <c r="H185" s="2" t="str">
        <f t="shared" si="36"/>
        <v>001</v>
      </c>
      <c r="I185" s="2" t="str">
        <f t="shared" si="42"/>
        <v>4100401</v>
      </c>
      <c r="J185" s="2">
        <f>31400</f>
        <v>31400</v>
      </c>
      <c r="K185" s="2" t="str">
        <f t="shared" si="39"/>
        <v>脚</v>
      </c>
      <c r="L185" s="2" t="str">
        <f t="shared" si="43"/>
        <v>3630331</v>
      </c>
      <c r="M185" s="2" t="str">
        <f>""</f>
        <v/>
      </c>
    </row>
    <row r="186" spans="1:13" x14ac:dyDescent="0.15">
      <c r="A186" s="2" t="str">
        <f t="shared" si="37"/>
        <v>1881110500</v>
      </c>
      <c r="B186" s="2" t="str">
        <f t="shared" si="38"/>
        <v>佐伯・区政調整</v>
      </c>
      <c r="C186" s="2" t="str">
        <f t="shared" si="34"/>
        <v>01ｲ00311</v>
      </c>
      <c r="D186" s="2" t="str">
        <f t="shared" si="35"/>
        <v>肘掛椅子</v>
      </c>
      <c r="E186" s="3" t="str">
        <f t="shared" si="40"/>
        <v>肘付</v>
      </c>
      <c r="F186" s="2" t="str">
        <f t="shared" si="41"/>
        <v>０００１</v>
      </c>
      <c r="G186" s="2" t="str">
        <f>"3620003278"</f>
        <v>3620003278</v>
      </c>
      <c r="H186" s="2" t="str">
        <f t="shared" si="36"/>
        <v>001</v>
      </c>
      <c r="I186" s="2" t="str">
        <f t="shared" si="42"/>
        <v>4100401</v>
      </c>
      <c r="J186" s="2">
        <f>31400</f>
        <v>31400</v>
      </c>
      <c r="K186" s="2" t="str">
        <f t="shared" si="39"/>
        <v>脚</v>
      </c>
      <c r="L186" s="2" t="str">
        <f t="shared" si="43"/>
        <v>3630331</v>
      </c>
      <c r="M186" s="2" t="str">
        <f>""</f>
        <v/>
      </c>
    </row>
    <row r="187" spans="1:13" x14ac:dyDescent="0.15">
      <c r="A187" s="2" t="str">
        <f t="shared" si="37"/>
        <v>1881110500</v>
      </c>
      <c r="B187" s="2" t="str">
        <f t="shared" si="38"/>
        <v>佐伯・区政調整</v>
      </c>
      <c r="C187" s="2" t="str">
        <f t="shared" si="34"/>
        <v>01ｲ00311</v>
      </c>
      <c r="D187" s="2" t="str">
        <f t="shared" si="35"/>
        <v>肘掛椅子</v>
      </c>
      <c r="E187" s="3" t="str">
        <f t="shared" si="40"/>
        <v>肘付</v>
      </c>
      <c r="F187" s="2" t="str">
        <f t="shared" si="41"/>
        <v>０００１</v>
      </c>
      <c r="G187" s="2" t="str">
        <f>"3620003279"</f>
        <v>3620003279</v>
      </c>
      <c r="H187" s="2" t="str">
        <f t="shared" si="36"/>
        <v>001</v>
      </c>
      <c r="I187" s="2" t="str">
        <f t="shared" si="42"/>
        <v>4100401</v>
      </c>
      <c r="J187" s="2">
        <f>31400</f>
        <v>31400</v>
      </c>
      <c r="K187" s="2" t="str">
        <f t="shared" si="39"/>
        <v>脚</v>
      </c>
      <c r="L187" s="2" t="str">
        <f t="shared" si="43"/>
        <v>3630331</v>
      </c>
      <c r="M187" s="2" t="str">
        <f>""</f>
        <v/>
      </c>
    </row>
    <row r="188" spans="1:13" x14ac:dyDescent="0.15">
      <c r="A188" s="2" t="str">
        <f t="shared" si="37"/>
        <v>1881110500</v>
      </c>
      <c r="B188" s="2" t="str">
        <f t="shared" si="38"/>
        <v>佐伯・区政調整</v>
      </c>
      <c r="C188" s="2" t="str">
        <f t="shared" si="34"/>
        <v>01ｲ00311</v>
      </c>
      <c r="D188" s="2" t="str">
        <f t="shared" si="35"/>
        <v>肘掛椅子</v>
      </c>
      <c r="E188" s="3" t="str">
        <f t="shared" si="40"/>
        <v>肘付</v>
      </c>
      <c r="F188" s="2" t="str">
        <f t="shared" si="41"/>
        <v>０００１</v>
      </c>
      <c r="G188" s="2" t="str">
        <f>"3620003280"</f>
        <v>3620003280</v>
      </c>
      <c r="H188" s="2" t="str">
        <f t="shared" si="36"/>
        <v>001</v>
      </c>
      <c r="I188" s="2" t="str">
        <f t="shared" si="42"/>
        <v>4100401</v>
      </c>
      <c r="J188" s="2">
        <f>31400</f>
        <v>31400</v>
      </c>
      <c r="K188" s="2" t="str">
        <f t="shared" si="39"/>
        <v>脚</v>
      </c>
      <c r="L188" s="2" t="str">
        <f t="shared" si="43"/>
        <v>3630331</v>
      </c>
      <c r="M188" s="2" t="str">
        <f>""</f>
        <v/>
      </c>
    </row>
    <row r="189" spans="1:13" x14ac:dyDescent="0.15">
      <c r="A189" s="2" t="str">
        <f t="shared" si="37"/>
        <v>1881110500</v>
      </c>
      <c r="B189" s="2" t="str">
        <f t="shared" si="38"/>
        <v>佐伯・区政調整</v>
      </c>
      <c r="C189" s="2" t="str">
        <f t="shared" si="34"/>
        <v>01ｲ00311</v>
      </c>
      <c r="D189" s="2" t="str">
        <f t="shared" si="35"/>
        <v>肘掛椅子</v>
      </c>
      <c r="E189" s="3" t="str">
        <f t="shared" si="40"/>
        <v>肘付</v>
      </c>
      <c r="F189" s="2" t="str">
        <f t="shared" si="41"/>
        <v>０００１</v>
      </c>
      <c r="G189" s="2" t="str">
        <f>"3620003281"</f>
        <v>3620003281</v>
      </c>
      <c r="H189" s="2" t="str">
        <f t="shared" si="36"/>
        <v>001</v>
      </c>
      <c r="I189" s="2" t="str">
        <f t="shared" si="42"/>
        <v>4100401</v>
      </c>
      <c r="J189" s="2">
        <f>31400</f>
        <v>31400</v>
      </c>
      <c r="K189" s="2" t="str">
        <f t="shared" si="39"/>
        <v>脚</v>
      </c>
      <c r="L189" s="2" t="str">
        <f t="shared" si="43"/>
        <v>3630331</v>
      </c>
      <c r="M189" s="2" t="str">
        <f>""</f>
        <v/>
      </c>
    </row>
    <row r="190" spans="1:13" x14ac:dyDescent="0.15">
      <c r="A190" s="2" t="str">
        <f t="shared" si="37"/>
        <v>1881110500</v>
      </c>
      <c r="B190" s="2" t="str">
        <f t="shared" si="38"/>
        <v>佐伯・区政調整</v>
      </c>
      <c r="C190" s="2" t="str">
        <f t="shared" si="34"/>
        <v>01ｲ00311</v>
      </c>
      <c r="D190" s="2" t="str">
        <f t="shared" si="35"/>
        <v>肘掛椅子</v>
      </c>
      <c r="E190" s="3" t="str">
        <f t="shared" si="40"/>
        <v>肘付</v>
      </c>
      <c r="F190" s="2" t="str">
        <f t="shared" si="41"/>
        <v>０００１</v>
      </c>
      <c r="G190" s="2" t="str">
        <f>"3620003282"</f>
        <v>3620003282</v>
      </c>
      <c r="H190" s="2" t="str">
        <f t="shared" si="36"/>
        <v>001</v>
      </c>
      <c r="I190" s="2" t="str">
        <f t="shared" si="42"/>
        <v>4100401</v>
      </c>
      <c r="J190" s="2">
        <f>31400</f>
        <v>31400</v>
      </c>
      <c r="K190" s="2" t="str">
        <f t="shared" si="39"/>
        <v>脚</v>
      </c>
      <c r="L190" s="2" t="str">
        <f t="shared" si="43"/>
        <v>3630331</v>
      </c>
      <c r="M190" s="2" t="str">
        <f>""</f>
        <v/>
      </c>
    </row>
    <row r="191" spans="1:13" x14ac:dyDescent="0.15">
      <c r="A191" s="2" t="str">
        <f t="shared" si="37"/>
        <v>1881110500</v>
      </c>
      <c r="B191" s="2" t="str">
        <f t="shared" si="38"/>
        <v>佐伯・区政調整</v>
      </c>
      <c r="C191" s="2" t="str">
        <f t="shared" si="34"/>
        <v>01ｲ00311</v>
      </c>
      <c r="D191" s="2" t="str">
        <f t="shared" si="35"/>
        <v>肘掛椅子</v>
      </c>
      <c r="E191" s="3" t="str">
        <f t="shared" si="40"/>
        <v>肘付</v>
      </c>
      <c r="F191" s="2" t="str">
        <f t="shared" si="41"/>
        <v>０００１</v>
      </c>
      <c r="G191" s="2" t="str">
        <f>"3620003283"</f>
        <v>3620003283</v>
      </c>
      <c r="H191" s="2" t="str">
        <f t="shared" si="36"/>
        <v>001</v>
      </c>
      <c r="I191" s="2" t="str">
        <f t="shared" si="42"/>
        <v>4100401</v>
      </c>
      <c r="J191" s="2">
        <f>31400</f>
        <v>31400</v>
      </c>
      <c r="K191" s="2" t="str">
        <f t="shared" si="39"/>
        <v>脚</v>
      </c>
      <c r="L191" s="2" t="str">
        <f t="shared" si="43"/>
        <v>3630331</v>
      </c>
      <c r="M191" s="2" t="str">
        <f>""</f>
        <v/>
      </c>
    </row>
    <row r="192" spans="1:13" x14ac:dyDescent="0.15">
      <c r="A192" s="2" t="str">
        <f t="shared" si="37"/>
        <v>1881110500</v>
      </c>
      <c r="B192" s="2" t="str">
        <f t="shared" si="38"/>
        <v>佐伯・区政調整</v>
      </c>
      <c r="C192" s="2" t="str">
        <f t="shared" si="34"/>
        <v>01ｲ00311</v>
      </c>
      <c r="D192" s="2" t="str">
        <f t="shared" si="35"/>
        <v>肘掛椅子</v>
      </c>
      <c r="E192" s="3" t="str">
        <f t="shared" si="40"/>
        <v>肘付</v>
      </c>
      <c r="F192" s="2" t="str">
        <f t="shared" si="41"/>
        <v>０００１</v>
      </c>
      <c r="G192" s="2" t="str">
        <f>"3620003284"</f>
        <v>3620003284</v>
      </c>
      <c r="H192" s="2" t="str">
        <f t="shared" si="36"/>
        <v>001</v>
      </c>
      <c r="I192" s="2" t="str">
        <f t="shared" si="42"/>
        <v>4100401</v>
      </c>
      <c r="J192" s="2">
        <f>31400</f>
        <v>31400</v>
      </c>
      <c r="K192" s="2" t="str">
        <f t="shared" si="39"/>
        <v>脚</v>
      </c>
      <c r="L192" s="2" t="str">
        <f t="shared" si="43"/>
        <v>3630331</v>
      </c>
      <c r="M192" s="2" t="str">
        <f>""</f>
        <v/>
      </c>
    </row>
    <row r="193" spans="1:13" x14ac:dyDescent="0.15">
      <c r="A193" s="2" t="str">
        <f t="shared" si="37"/>
        <v>1881110500</v>
      </c>
      <c r="B193" s="2" t="str">
        <f t="shared" si="38"/>
        <v>佐伯・区政調整</v>
      </c>
      <c r="C193" s="2" t="str">
        <f t="shared" si="34"/>
        <v>01ｲ00311</v>
      </c>
      <c r="D193" s="2" t="str">
        <f t="shared" si="35"/>
        <v>肘掛椅子</v>
      </c>
      <c r="E193" s="3" t="str">
        <f t="shared" si="40"/>
        <v>肘付</v>
      </c>
      <c r="F193" s="2" t="str">
        <f t="shared" si="41"/>
        <v>０００１</v>
      </c>
      <c r="G193" s="2" t="str">
        <f>"3620003285"</f>
        <v>3620003285</v>
      </c>
      <c r="H193" s="2" t="str">
        <f t="shared" si="36"/>
        <v>001</v>
      </c>
      <c r="I193" s="2" t="str">
        <f t="shared" si="42"/>
        <v>4100401</v>
      </c>
      <c r="J193" s="2">
        <f>31400</f>
        <v>31400</v>
      </c>
      <c r="K193" s="2" t="str">
        <f t="shared" si="39"/>
        <v>脚</v>
      </c>
      <c r="L193" s="2" t="str">
        <f t="shared" si="43"/>
        <v>3630331</v>
      </c>
      <c r="M193" s="2" t="str">
        <f>""</f>
        <v/>
      </c>
    </row>
    <row r="194" spans="1:13" x14ac:dyDescent="0.15">
      <c r="A194" s="2" t="str">
        <f t="shared" si="37"/>
        <v>1881110500</v>
      </c>
      <c r="B194" s="2" t="str">
        <f t="shared" si="38"/>
        <v>佐伯・区政調整</v>
      </c>
      <c r="C194" s="2" t="str">
        <f t="shared" si="34"/>
        <v>01ｲ00311</v>
      </c>
      <c r="D194" s="2" t="str">
        <f t="shared" si="35"/>
        <v>肘掛椅子</v>
      </c>
      <c r="E194" s="3" t="str">
        <f t="shared" si="40"/>
        <v>肘付</v>
      </c>
      <c r="F194" s="2" t="str">
        <f t="shared" si="41"/>
        <v>０００１</v>
      </c>
      <c r="G194" s="2" t="str">
        <f>"3620003286"</f>
        <v>3620003286</v>
      </c>
      <c r="H194" s="2" t="str">
        <f t="shared" si="36"/>
        <v>001</v>
      </c>
      <c r="I194" s="2" t="str">
        <f t="shared" si="42"/>
        <v>4100401</v>
      </c>
      <c r="J194" s="2">
        <f>31400</f>
        <v>31400</v>
      </c>
      <c r="K194" s="2" t="str">
        <f t="shared" si="39"/>
        <v>脚</v>
      </c>
      <c r="L194" s="2" t="str">
        <f t="shared" si="43"/>
        <v>3630331</v>
      </c>
      <c r="M194" s="2" t="str">
        <f>""</f>
        <v/>
      </c>
    </row>
    <row r="195" spans="1:13" x14ac:dyDescent="0.15">
      <c r="A195" s="2" t="str">
        <f t="shared" si="37"/>
        <v>1881110500</v>
      </c>
      <c r="B195" s="2" t="str">
        <f t="shared" si="38"/>
        <v>佐伯・区政調整</v>
      </c>
      <c r="C195" s="2" t="str">
        <f t="shared" si="34"/>
        <v>01ｲ00311</v>
      </c>
      <c r="D195" s="2" t="str">
        <f t="shared" si="35"/>
        <v>肘掛椅子</v>
      </c>
      <c r="E195" s="3" t="str">
        <f t="shared" si="40"/>
        <v>肘付</v>
      </c>
      <c r="F195" s="2" t="str">
        <f t="shared" si="41"/>
        <v>０００１</v>
      </c>
      <c r="G195" s="2" t="str">
        <f>"3620003287"</f>
        <v>3620003287</v>
      </c>
      <c r="H195" s="2" t="str">
        <f t="shared" si="36"/>
        <v>001</v>
      </c>
      <c r="I195" s="2" t="str">
        <f t="shared" si="42"/>
        <v>4100401</v>
      </c>
      <c r="J195" s="2">
        <f>31400</f>
        <v>31400</v>
      </c>
      <c r="K195" s="2" t="str">
        <f t="shared" si="39"/>
        <v>脚</v>
      </c>
      <c r="L195" s="2" t="str">
        <f t="shared" si="43"/>
        <v>3630331</v>
      </c>
      <c r="M195" s="2" t="str">
        <f>""</f>
        <v/>
      </c>
    </row>
    <row r="196" spans="1:13" x14ac:dyDescent="0.15">
      <c r="A196" s="2" t="str">
        <f t="shared" si="37"/>
        <v>1881110500</v>
      </c>
      <c r="B196" s="2" t="str">
        <f t="shared" si="38"/>
        <v>佐伯・区政調整</v>
      </c>
      <c r="C196" s="2" t="str">
        <f t="shared" si="34"/>
        <v>01ｲ00311</v>
      </c>
      <c r="D196" s="2" t="str">
        <f t="shared" si="35"/>
        <v>肘掛椅子</v>
      </c>
      <c r="E196" s="3" t="str">
        <f t="shared" si="40"/>
        <v>肘付</v>
      </c>
      <c r="F196" s="2" t="str">
        <f t="shared" si="41"/>
        <v>０００１</v>
      </c>
      <c r="G196" s="2" t="str">
        <f>"3620003288"</f>
        <v>3620003288</v>
      </c>
      <c r="H196" s="2" t="str">
        <f t="shared" si="36"/>
        <v>001</v>
      </c>
      <c r="I196" s="2" t="str">
        <f t="shared" si="42"/>
        <v>4100401</v>
      </c>
      <c r="J196" s="2">
        <f>31400</f>
        <v>31400</v>
      </c>
      <c r="K196" s="2" t="str">
        <f t="shared" si="39"/>
        <v>脚</v>
      </c>
      <c r="L196" s="2" t="str">
        <f t="shared" si="43"/>
        <v>3630331</v>
      </c>
      <c r="M196" s="2" t="str">
        <f>""</f>
        <v/>
      </c>
    </row>
    <row r="197" spans="1:13" x14ac:dyDescent="0.15">
      <c r="A197" s="2" t="str">
        <f t="shared" si="37"/>
        <v>1881110500</v>
      </c>
      <c r="B197" s="2" t="str">
        <f t="shared" si="38"/>
        <v>佐伯・区政調整</v>
      </c>
      <c r="C197" s="2" t="str">
        <f t="shared" si="34"/>
        <v>01ｲ00311</v>
      </c>
      <c r="D197" s="2" t="str">
        <f t="shared" si="35"/>
        <v>肘掛椅子</v>
      </c>
      <c r="E197" s="3" t="str">
        <f t="shared" si="40"/>
        <v>肘付</v>
      </c>
      <c r="F197" s="2" t="str">
        <f t="shared" si="41"/>
        <v>０００１</v>
      </c>
      <c r="G197" s="2" t="str">
        <f>"3620003289"</f>
        <v>3620003289</v>
      </c>
      <c r="H197" s="2" t="str">
        <f t="shared" si="36"/>
        <v>001</v>
      </c>
      <c r="I197" s="2" t="str">
        <f t="shared" si="42"/>
        <v>4100401</v>
      </c>
      <c r="J197" s="2">
        <f>31400</f>
        <v>31400</v>
      </c>
      <c r="K197" s="2" t="str">
        <f t="shared" si="39"/>
        <v>脚</v>
      </c>
      <c r="L197" s="2" t="str">
        <f t="shared" si="43"/>
        <v>3630331</v>
      </c>
      <c r="M197" s="2" t="str">
        <f>""</f>
        <v/>
      </c>
    </row>
    <row r="198" spans="1:13" x14ac:dyDescent="0.15">
      <c r="A198" s="2" t="str">
        <f t="shared" si="37"/>
        <v>1881110500</v>
      </c>
      <c r="B198" s="2" t="str">
        <f t="shared" si="38"/>
        <v>佐伯・区政調整</v>
      </c>
      <c r="C198" s="2" t="str">
        <f t="shared" si="34"/>
        <v>01ｲ00311</v>
      </c>
      <c r="D198" s="2" t="str">
        <f t="shared" si="35"/>
        <v>肘掛椅子</v>
      </c>
      <c r="E198" s="3" t="str">
        <f t="shared" si="40"/>
        <v>肘付</v>
      </c>
      <c r="F198" s="2" t="str">
        <f t="shared" si="41"/>
        <v>０００１</v>
      </c>
      <c r="G198" s="2" t="str">
        <f>"3620003290"</f>
        <v>3620003290</v>
      </c>
      <c r="H198" s="2" t="str">
        <f t="shared" si="36"/>
        <v>001</v>
      </c>
      <c r="I198" s="2" t="str">
        <f t="shared" si="42"/>
        <v>4100401</v>
      </c>
      <c r="J198" s="2">
        <f>31400</f>
        <v>31400</v>
      </c>
      <c r="K198" s="2" t="str">
        <f t="shared" si="39"/>
        <v>脚</v>
      </c>
      <c r="L198" s="2" t="str">
        <f t="shared" si="43"/>
        <v>3630331</v>
      </c>
      <c r="M198" s="2" t="str">
        <f>""</f>
        <v/>
      </c>
    </row>
    <row r="199" spans="1:13" x14ac:dyDescent="0.15">
      <c r="A199" s="2" t="str">
        <f t="shared" si="37"/>
        <v>1881110500</v>
      </c>
      <c r="B199" s="2" t="str">
        <f t="shared" si="38"/>
        <v>佐伯・区政調整</v>
      </c>
      <c r="C199" s="2" t="str">
        <f t="shared" si="34"/>
        <v>01ｲ00311</v>
      </c>
      <c r="D199" s="2" t="str">
        <f t="shared" si="35"/>
        <v>肘掛椅子</v>
      </c>
      <c r="E199" s="3" t="str">
        <f t="shared" si="40"/>
        <v>肘付</v>
      </c>
      <c r="F199" s="2" t="str">
        <f t="shared" si="41"/>
        <v>０００１</v>
      </c>
      <c r="G199" s="2" t="str">
        <f>"3620003291"</f>
        <v>3620003291</v>
      </c>
      <c r="H199" s="2" t="str">
        <f t="shared" si="36"/>
        <v>001</v>
      </c>
      <c r="I199" s="2" t="str">
        <f t="shared" si="42"/>
        <v>4100401</v>
      </c>
      <c r="J199" s="2">
        <f>31400</f>
        <v>31400</v>
      </c>
      <c r="K199" s="2" t="str">
        <f t="shared" si="39"/>
        <v>脚</v>
      </c>
      <c r="L199" s="2" t="str">
        <f t="shared" si="43"/>
        <v>3630331</v>
      </c>
      <c r="M199" s="2" t="str">
        <f>""</f>
        <v/>
      </c>
    </row>
    <row r="200" spans="1:13" x14ac:dyDescent="0.15">
      <c r="A200" s="2" t="str">
        <f t="shared" si="37"/>
        <v>1881110500</v>
      </c>
      <c r="B200" s="2" t="str">
        <f t="shared" si="38"/>
        <v>佐伯・区政調整</v>
      </c>
      <c r="C200" s="2" t="str">
        <f t="shared" si="34"/>
        <v>01ｲ00311</v>
      </c>
      <c r="D200" s="2" t="str">
        <f t="shared" si="35"/>
        <v>肘掛椅子</v>
      </c>
      <c r="E200" s="3" t="str">
        <f t="shared" si="40"/>
        <v>肘付</v>
      </c>
      <c r="F200" s="2" t="str">
        <f t="shared" si="41"/>
        <v>０００１</v>
      </c>
      <c r="G200" s="2" t="str">
        <f>"3620003292"</f>
        <v>3620003292</v>
      </c>
      <c r="H200" s="2" t="str">
        <f t="shared" si="36"/>
        <v>001</v>
      </c>
      <c r="I200" s="2" t="str">
        <f t="shared" si="42"/>
        <v>4100401</v>
      </c>
      <c r="J200" s="2">
        <f>31400</f>
        <v>31400</v>
      </c>
      <c r="K200" s="2" t="str">
        <f t="shared" si="39"/>
        <v>脚</v>
      </c>
      <c r="L200" s="2" t="str">
        <f t="shared" si="43"/>
        <v>3630331</v>
      </c>
      <c r="M200" s="2" t="str">
        <f>""</f>
        <v/>
      </c>
    </row>
    <row r="201" spans="1:13" x14ac:dyDescent="0.15">
      <c r="A201" s="2" t="str">
        <f t="shared" si="37"/>
        <v>1881110500</v>
      </c>
      <c r="B201" s="2" t="str">
        <f t="shared" si="38"/>
        <v>佐伯・区政調整</v>
      </c>
      <c r="C201" s="2" t="str">
        <f t="shared" si="34"/>
        <v>01ｲ00311</v>
      </c>
      <c r="D201" s="2" t="str">
        <f t="shared" si="35"/>
        <v>肘掛椅子</v>
      </c>
      <c r="E201" s="3" t="str">
        <f t="shared" si="40"/>
        <v>肘付</v>
      </c>
      <c r="F201" s="2" t="str">
        <f t="shared" si="41"/>
        <v>０００１</v>
      </c>
      <c r="G201" s="2" t="str">
        <f>"3620003293"</f>
        <v>3620003293</v>
      </c>
      <c r="H201" s="2" t="str">
        <f t="shared" si="36"/>
        <v>001</v>
      </c>
      <c r="I201" s="2" t="str">
        <f t="shared" si="42"/>
        <v>4100401</v>
      </c>
      <c r="J201" s="2">
        <f>31400</f>
        <v>31400</v>
      </c>
      <c r="K201" s="2" t="str">
        <f t="shared" si="39"/>
        <v>脚</v>
      </c>
      <c r="L201" s="2" t="str">
        <f t="shared" si="43"/>
        <v>3630331</v>
      </c>
      <c r="M201" s="2" t="str">
        <f>""</f>
        <v/>
      </c>
    </row>
    <row r="202" spans="1:13" x14ac:dyDescent="0.15">
      <c r="A202" s="2" t="str">
        <f t="shared" si="37"/>
        <v>1881110500</v>
      </c>
      <c r="B202" s="2" t="str">
        <f t="shared" si="38"/>
        <v>佐伯・区政調整</v>
      </c>
      <c r="C202" s="2" t="str">
        <f t="shared" ref="C202:C265" si="44">"01ｲ00311"</f>
        <v>01ｲ00311</v>
      </c>
      <c r="D202" s="2" t="str">
        <f t="shared" ref="D202:D265" si="45">"肘掛椅子"</f>
        <v>肘掛椅子</v>
      </c>
      <c r="E202" s="3" t="str">
        <f t="shared" si="40"/>
        <v>肘付</v>
      </c>
      <c r="F202" s="2" t="str">
        <f t="shared" si="41"/>
        <v>０００１</v>
      </c>
      <c r="G202" s="2" t="str">
        <f>"3620003294"</f>
        <v>3620003294</v>
      </c>
      <c r="H202" s="2" t="str">
        <f t="shared" ref="H202:H265" si="46">"001"</f>
        <v>001</v>
      </c>
      <c r="I202" s="2" t="str">
        <f t="shared" si="42"/>
        <v>4100401</v>
      </c>
      <c r="J202" s="2">
        <f>31400</f>
        <v>31400</v>
      </c>
      <c r="K202" s="2" t="str">
        <f t="shared" si="39"/>
        <v>脚</v>
      </c>
      <c r="L202" s="2" t="str">
        <f t="shared" si="43"/>
        <v>3630331</v>
      </c>
      <c r="M202" s="2" t="str">
        <f>""</f>
        <v/>
      </c>
    </row>
    <row r="203" spans="1:13" x14ac:dyDescent="0.15">
      <c r="A203" s="2" t="str">
        <f t="shared" si="37"/>
        <v>1881110500</v>
      </c>
      <c r="B203" s="2" t="str">
        <f t="shared" si="38"/>
        <v>佐伯・区政調整</v>
      </c>
      <c r="C203" s="2" t="str">
        <f t="shared" si="44"/>
        <v>01ｲ00311</v>
      </c>
      <c r="D203" s="2" t="str">
        <f t="shared" si="45"/>
        <v>肘掛椅子</v>
      </c>
      <c r="E203" s="3" t="str">
        <f t="shared" si="40"/>
        <v>肘付</v>
      </c>
      <c r="F203" s="2" t="str">
        <f t="shared" si="41"/>
        <v>０００１</v>
      </c>
      <c r="G203" s="2" t="str">
        <f>"3620003295"</f>
        <v>3620003295</v>
      </c>
      <c r="H203" s="2" t="str">
        <f t="shared" si="46"/>
        <v>001</v>
      </c>
      <c r="I203" s="2" t="str">
        <f t="shared" si="42"/>
        <v>4100401</v>
      </c>
      <c r="J203" s="2">
        <f>31400</f>
        <v>31400</v>
      </c>
      <c r="K203" s="2" t="str">
        <f t="shared" si="39"/>
        <v>脚</v>
      </c>
      <c r="L203" s="2" t="str">
        <f t="shared" si="43"/>
        <v>3630331</v>
      </c>
      <c r="M203" s="2" t="str">
        <f>""</f>
        <v/>
      </c>
    </row>
    <row r="204" spans="1:13" x14ac:dyDescent="0.15">
      <c r="A204" s="2" t="str">
        <f t="shared" si="37"/>
        <v>1881110500</v>
      </c>
      <c r="B204" s="2" t="str">
        <f t="shared" si="38"/>
        <v>佐伯・区政調整</v>
      </c>
      <c r="C204" s="2" t="str">
        <f t="shared" si="44"/>
        <v>01ｲ00311</v>
      </c>
      <c r="D204" s="2" t="str">
        <f t="shared" si="45"/>
        <v>肘掛椅子</v>
      </c>
      <c r="E204" s="3" t="str">
        <f t="shared" si="40"/>
        <v>肘付</v>
      </c>
      <c r="F204" s="2" t="str">
        <f t="shared" si="41"/>
        <v>０００１</v>
      </c>
      <c r="G204" s="2" t="str">
        <f>"3620003296"</f>
        <v>3620003296</v>
      </c>
      <c r="H204" s="2" t="str">
        <f t="shared" si="46"/>
        <v>001</v>
      </c>
      <c r="I204" s="2" t="str">
        <f t="shared" si="42"/>
        <v>4100401</v>
      </c>
      <c r="J204" s="2">
        <f>31400</f>
        <v>31400</v>
      </c>
      <c r="K204" s="2" t="str">
        <f t="shared" si="39"/>
        <v>脚</v>
      </c>
      <c r="L204" s="2" t="str">
        <f t="shared" si="43"/>
        <v>3630331</v>
      </c>
      <c r="M204" s="2" t="str">
        <f>""</f>
        <v/>
      </c>
    </row>
    <row r="205" spans="1:13" x14ac:dyDescent="0.15">
      <c r="A205" s="2" t="str">
        <f t="shared" si="37"/>
        <v>1881110500</v>
      </c>
      <c r="B205" s="2" t="str">
        <f t="shared" si="38"/>
        <v>佐伯・区政調整</v>
      </c>
      <c r="C205" s="2" t="str">
        <f t="shared" si="44"/>
        <v>01ｲ00311</v>
      </c>
      <c r="D205" s="2" t="str">
        <f t="shared" si="45"/>
        <v>肘掛椅子</v>
      </c>
      <c r="E205" s="3" t="str">
        <f t="shared" si="40"/>
        <v>肘付</v>
      </c>
      <c r="F205" s="2" t="str">
        <f t="shared" si="41"/>
        <v>０００１</v>
      </c>
      <c r="G205" s="2" t="str">
        <f>"3620003297"</f>
        <v>3620003297</v>
      </c>
      <c r="H205" s="2" t="str">
        <f t="shared" si="46"/>
        <v>001</v>
      </c>
      <c r="I205" s="2" t="str">
        <f t="shared" si="42"/>
        <v>4100401</v>
      </c>
      <c r="J205" s="2">
        <f>31400</f>
        <v>31400</v>
      </c>
      <c r="K205" s="2" t="str">
        <f t="shared" si="39"/>
        <v>脚</v>
      </c>
      <c r="L205" s="2" t="str">
        <f t="shared" si="43"/>
        <v>3630331</v>
      </c>
      <c r="M205" s="2" t="str">
        <f>""</f>
        <v/>
      </c>
    </row>
    <row r="206" spans="1:13" x14ac:dyDescent="0.15">
      <c r="A206" s="2" t="str">
        <f t="shared" si="37"/>
        <v>1881110500</v>
      </c>
      <c r="B206" s="2" t="str">
        <f t="shared" si="38"/>
        <v>佐伯・区政調整</v>
      </c>
      <c r="C206" s="2" t="str">
        <f t="shared" si="44"/>
        <v>01ｲ00311</v>
      </c>
      <c r="D206" s="2" t="str">
        <f t="shared" si="45"/>
        <v>肘掛椅子</v>
      </c>
      <c r="E206" s="3" t="str">
        <f t="shared" si="40"/>
        <v>肘付</v>
      </c>
      <c r="F206" s="2" t="str">
        <f t="shared" si="41"/>
        <v>０００１</v>
      </c>
      <c r="G206" s="2" t="str">
        <f>"3620003298"</f>
        <v>3620003298</v>
      </c>
      <c r="H206" s="2" t="str">
        <f t="shared" si="46"/>
        <v>001</v>
      </c>
      <c r="I206" s="2" t="str">
        <f t="shared" si="42"/>
        <v>4100401</v>
      </c>
      <c r="J206" s="2">
        <f>31400</f>
        <v>31400</v>
      </c>
      <c r="K206" s="2" t="str">
        <f t="shared" si="39"/>
        <v>脚</v>
      </c>
      <c r="L206" s="2" t="str">
        <f t="shared" si="43"/>
        <v>3630331</v>
      </c>
      <c r="M206" s="2" t="str">
        <f>""</f>
        <v/>
      </c>
    </row>
    <row r="207" spans="1:13" x14ac:dyDescent="0.15">
      <c r="A207" s="2" t="str">
        <f t="shared" si="37"/>
        <v>1881110500</v>
      </c>
      <c r="B207" s="2" t="str">
        <f t="shared" si="38"/>
        <v>佐伯・区政調整</v>
      </c>
      <c r="C207" s="2" t="str">
        <f t="shared" si="44"/>
        <v>01ｲ00311</v>
      </c>
      <c r="D207" s="2" t="str">
        <f t="shared" si="45"/>
        <v>肘掛椅子</v>
      </c>
      <c r="E207" s="3" t="str">
        <f t="shared" si="40"/>
        <v>肘付</v>
      </c>
      <c r="F207" s="2" t="str">
        <f t="shared" si="41"/>
        <v>０００１</v>
      </c>
      <c r="G207" s="2" t="str">
        <f>"3620003299"</f>
        <v>3620003299</v>
      </c>
      <c r="H207" s="2" t="str">
        <f t="shared" si="46"/>
        <v>001</v>
      </c>
      <c r="I207" s="2" t="str">
        <f t="shared" si="42"/>
        <v>4100401</v>
      </c>
      <c r="J207" s="2">
        <f>31400</f>
        <v>31400</v>
      </c>
      <c r="K207" s="2" t="str">
        <f t="shared" si="39"/>
        <v>脚</v>
      </c>
      <c r="L207" s="2" t="str">
        <f t="shared" si="43"/>
        <v>3630331</v>
      </c>
      <c r="M207" s="2" t="str">
        <f>""</f>
        <v/>
      </c>
    </row>
    <row r="208" spans="1:13" x14ac:dyDescent="0.15">
      <c r="A208" s="2" t="str">
        <f t="shared" si="37"/>
        <v>1881110500</v>
      </c>
      <c r="B208" s="2" t="str">
        <f t="shared" si="38"/>
        <v>佐伯・区政調整</v>
      </c>
      <c r="C208" s="2" t="str">
        <f t="shared" si="44"/>
        <v>01ｲ00311</v>
      </c>
      <c r="D208" s="2" t="str">
        <f t="shared" si="45"/>
        <v>肘掛椅子</v>
      </c>
      <c r="E208" s="3" t="str">
        <f t="shared" si="40"/>
        <v>肘付</v>
      </c>
      <c r="F208" s="2" t="str">
        <f t="shared" si="41"/>
        <v>０００１</v>
      </c>
      <c r="G208" s="2" t="str">
        <f>"3620003300"</f>
        <v>3620003300</v>
      </c>
      <c r="H208" s="2" t="str">
        <f t="shared" si="46"/>
        <v>001</v>
      </c>
      <c r="I208" s="2" t="str">
        <f t="shared" si="42"/>
        <v>4100401</v>
      </c>
      <c r="J208" s="2">
        <f>31400</f>
        <v>31400</v>
      </c>
      <c r="K208" s="2" t="str">
        <f t="shared" si="39"/>
        <v>脚</v>
      </c>
      <c r="L208" s="2" t="str">
        <f t="shared" si="43"/>
        <v>3630331</v>
      </c>
      <c r="M208" s="2" t="str">
        <f>""</f>
        <v/>
      </c>
    </row>
    <row r="209" spans="1:13" x14ac:dyDescent="0.15">
      <c r="A209" s="2" t="str">
        <f t="shared" si="37"/>
        <v>1881110500</v>
      </c>
      <c r="B209" s="2" t="str">
        <f t="shared" si="38"/>
        <v>佐伯・区政調整</v>
      </c>
      <c r="C209" s="2" t="str">
        <f t="shared" si="44"/>
        <v>01ｲ00311</v>
      </c>
      <c r="D209" s="2" t="str">
        <f t="shared" si="45"/>
        <v>肘掛椅子</v>
      </c>
      <c r="E209" s="3" t="str">
        <f t="shared" si="40"/>
        <v>肘付</v>
      </c>
      <c r="F209" s="2" t="str">
        <f t="shared" si="41"/>
        <v>０００１</v>
      </c>
      <c r="G209" s="2" t="str">
        <f>"3620003301"</f>
        <v>3620003301</v>
      </c>
      <c r="H209" s="2" t="str">
        <f t="shared" si="46"/>
        <v>001</v>
      </c>
      <c r="I209" s="2" t="str">
        <f t="shared" si="42"/>
        <v>4100401</v>
      </c>
      <c r="J209" s="2">
        <f>31400</f>
        <v>31400</v>
      </c>
      <c r="K209" s="2" t="str">
        <f t="shared" si="39"/>
        <v>脚</v>
      </c>
      <c r="L209" s="2" t="str">
        <f t="shared" si="43"/>
        <v>3630331</v>
      </c>
      <c r="M209" s="2" t="str">
        <f>""</f>
        <v/>
      </c>
    </row>
    <row r="210" spans="1:13" x14ac:dyDescent="0.15">
      <c r="A210" s="2" t="str">
        <f t="shared" si="37"/>
        <v>1881110500</v>
      </c>
      <c r="B210" s="2" t="str">
        <f t="shared" si="38"/>
        <v>佐伯・区政調整</v>
      </c>
      <c r="C210" s="2" t="str">
        <f t="shared" si="44"/>
        <v>01ｲ00311</v>
      </c>
      <c r="D210" s="2" t="str">
        <f t="shared" si="45"/>
        <v>肘掛椅子</v>
      </c>
      <c r="E210" s="3" t="str">
        <f t="shared" si="40"/>
        <v>肘付</v>
      </c>
      <c r="F210" s="2" t="str">
        <f t="shared" si="41"/>
        <v>０００１</v>
      </c>
      <c r="G210" s="2" t="str">
        <f>"3620003302"</f>
        <v>3620003302</v>
      </c>
      <c r="H210" s="2" t="str">
        <f t="shared" si="46"/>
        <v>001</v>
      </c>
      <c r="I210" s="2" t="str">
        <f t="shared" si="42"/>
        <v>4100401</v>
      </c>
      <c r="J210" s="2">
        <f>31400</f>
        <v>31400</v>
      </c>
      <c r="K210" s="2" t="str">
        <f t="shared" si="39"/>
        <v>脚</v>
      </c>
      <c r="L210" s="2" t="str">
        <f t="shared" si="43"/>
        <v>3630331</v>
      </c>
      <c r="M210" s="2" t="str">
        <f>""</f>
        <v/>
      </c>
    </row>
    <row r="211" spans="1:13" x14ac:dyDescent="0.15">
      <c r="A211" s="2" t="str">
        <f t="shared" si="37"/>
        <v>1881110500</v>
      </c>
      <c r="B211" s="2" t="str">
        <f t="shared" si="38"/>
        <v>佐伯・区政調整</v>
      </c>
      <c r="C211" s="2" t="str">
        <f t="shared" si="44"/>
        <v>01ｲ00311</v>
      </c>
      <c r="D211" s="2" t="str">
        <f t="shared" si="45"/>
        <v>肘掛椅子</v>
      </c>
      <c r="E211" s="3" t="str">
        <f t="shared" si="40"/>
        <v>肘付</v>
      </c>
      <c r="F211" s="2" t="str">
        <f t="shared" si="41"/>
        <v>０００１</v>
      </c>
      <c r="G211" s="2" t="str">
        <f>"3620003303"</f>
        <v>3620003303</v>
      </c>
      <c r="H211" s="2" t="str">
        <f t="shared" si="46"/>
        <v>001</v>
      </c>
      <c r="I211" s="2" t="str">
        <f t="shared" si="42"/>
        <v>4100401</v>
      </c>
      <c r="J211" s="2">
        <f>31400</f>
        <v>31400</v>
      </c>
      <c r="K211" s="2" t="str">
        <f t="shared" si="39"/>
        <v>脚</v>
      </c>
      <c r="L211" s="2" t="str">
        <f t="shared" si="43"/>
        <v>3630331</v>
      </c>
      <c r="M211" s="2" t="str">
        <f>""</f>
        <v/>
      </c>
    </row>
    <row r="212" spans="1:13" x14ac:dyDescent="0.15">
      <c r="A212" s="2" t="str">
        <f t="shared" si="37"/>
        <v>1881110500</v>
      </c>
      <c r="B212" s="2" t="str">
        <f t="shared" si="38"/>
        <v>佐伯・区政調整</v>
      </c>
      <c r="C212" s="2" t="str">
        <f t="shared" si="44"/>
        <v>01ｲ00311</v>
      </c>
      <c r="D212" s="2" t="str">
        <f t="shared" si="45"/>
        <v>肘掛椅子</v>
      </c>
      <c r="E212" s="3" t="str">
        <f t="shared" si="40"/>
        <v>肘付</v>
      </c>
      <c r="F212" s="2" t="str">
        <f t="shared" si="41"/>
        <v>０００１</v>
      </c>
      <c r="G212" s="2" t="str">
        <f>"3620003304"</f>
        <v>3620003304</v>
      </c>
      <c r="H212" s="2" t="str">
        <f t="shared" si="46"/>
        <v>001</v>
      </c>
      <c r="I212" s="2" t="str">
        <f t="shared" si="42"/>
        <v>4100401</v>
      </c>
      <c r="J212" s="2">
        <f>31400</f>
        <v>31400</v>
      </c>
      <c r="K212" s="2" t="str">
        <f t="shared" si="39"/>
        <v>脚</v>
      </c>
      <c r="L212" s="2" t="str">
        <f t="shared" si="43"/>
        <v>3630331</v>
      </c>
      <c r="M212" s="2" t="str">
        <f>""</f>
        <v/>
      </c>
    </row>
    <row r="213" spans="1:13" x14ac:dyDescent="0.15">
      <c r="A213" s="2" t="str">
        <f t="shared" si="37"/>
        <v>1881110500</v>
      </c>
      <c r="B213" s="2" t="str">
        <f t="shared" si="38"/>
        <v>佐伯・区政調整</v>
      </c>
      <c r="C213" s="2" t="str">
        <f t="shared" si="44"/>
        <v>01ｲ00311</v>
      </c>
      <c r="D213" s="2" t="str">
        <f t="shared" si="45"/>
        <v>肘掛椅子</v>
      </c>
      <c r="E213" s="3" t="str">
        <f t="shared" si="40"/>
        <v>肘付</v>
      </c>
      <c r="F213" s="2" t="str">
        <f t="shared" si="41"/>
        <v>０００１</v>
      </c>
      <c r="G213" s="2" t="str">
        <f>"3620003305"</f>
        <v>3620003305</v>
      </c>
      <c r="H213" s="2" t="str">
        <f t="shared" si="46"/>
        <v>001</v>
      </c>
      <c r="I213" s="2" t="str">
        <f t="shared" si="42"/>
        <v>4100401</v>
      </c>
      <c r="J213" s="2">
        <f>31400</f>
        <v>31400</v>
      </c>
      <c r="K213" s="2" t="str">
        <f t="shared" si="39"/>
        <v>脚</v>
      </c>
      <c r="L213" s="2" t="str">
        <f t="shared" si="43"/>
        <v>3630331</v>
      </c>
      <c r="M213" s="2" t="str">
        <f>""</f>
        <v/>
      </c>
    </row>
    <row r="214" spans="1:13" x14ac:dyDescent="0.15">
      <c r="A214" s="2" t="str">
        <f t="shared" si="37"/>
        <v>1881110500</v>
      </c>
      <c r="B214" s="2" t="str">
        <f t="shared" si="38"/>
        <v>佐伯・区政調整</v>
      </c>
      <c r="C214" s="2" t="str">
        <f t="shared" si="44"/>
        <v>01ｲ00311</v>
      </c>
      <c r="D214" s="2" t="str">
        <f t="shared" si="45"/>
        <v>肘掛椅子</v>
      </c>
      <c r="E214" s="3" t="str">
        <f t="shared" si="40"/>
        <v>肘付</v>
      </c>
      <c r="F214" s="2" t="str">
        <f t="shared" si="41"/>
        <v>０００１</v>
      </c>
      <c r="G214" s="2" t="str">
        <f>"3620003306"</f>
        <v>3620003306</v>
      </c>
      <c r="H214" s="2" t="str">
        <f t="shared" si="46"/>
        <v>001</v>
      </c>
      <c r="I214" s="2" t="str">
        <f t="shared" si="42"/>
        <v>4100401</v>
      </c>
      <c r="J214" s="2">
        <f>31400</f>
        <v>31400</v>
      </c>
      <c r="K214" s="2" t="str">
        <f t="shared" si="39"/>
        <v>脚</v>
      </c>
      <c r="L214" s="2" t="str">
        <f t="shared" si="43"/>
        <v>3630331</v>
      </c>
      <c r="M214" s="2" t="str">
        <f>""</f>
        <v/>
      </c>
    </row>
    <row r="215" spans="1:13" x14ac:dyDescent="0.15">
      <c r="A215" s="2" t="str">
        <f t="shared" si="37"/>
        <v>1881110500</v>
      </c>
      <c r="B215" s="2" t="str">
        <f t="shared" si="38"/>
        <v>佐伯・区政調整</v>
      </c>
      <c r="C215" s="2" t="str">
        <f t="shared" si="44"/>
        <v>01ｲ00311</v>
      </c>
      <c r="D215" s="2" t="str">
        <f t="shared" si="45"/>
        <v>肘掛椅子</v>
      </c>
      <c r="E215" s="3" t="str">
        <f t="shared" si="40"/>
        <v>肘付</v>
      </c>
      <c r="F215" s="2" t="str">
        <f t="shared" si="41"/>
        <v>０００１</v>
      </c>
      <c r="G215" s="2" t="str">
        <f>"3620003307"</f>
        <v>3620003307</v>
      </c>
      <c r="H215" s="2" t="str">
        <f t="shared" si="46"/>
        <v>001</v>
      </c>
      <c r="I215" s="2" t="str">
        <f t="shared" si="42"/>
        <v>4100401</v>
      </c>
      <c r="J215" s="2">
        <f>31400</f>
        <v>31400</v>
      </c>
      <c r="K215" s="2" t="str">
        <f t="shared" si="39"/>
        <v>脚</v>
      </c>
      <c r="L215" s="2" t="str">
        <f t="shared" si="43"/>
        <v>3630331</v>
      </c>
      <c r="M215" s="2" t="str">
        <f>""</f>
        <v/>
      </c>
    </row>
    <row r="216" spans="1:13" x14ac:dyDescent="0.15">
      <c r="A216" s="2" t="str">
        <f t="shared" si="37"/>
        <v>1881110500</v>
      </c>
      <c r="B216" s="2" t="str">
        <f t="shared" si="38"/>
        <v>佐伯・区政調整</v>
      </c>
      <c r="C216" s="2" t="str">
        <f t="shared" si="44"/>
        <v>01ｲ00311</v>
      </c>
      <c r="D216" s="2" t="str">
        <f t="shared" si="45"/>
        <v>肘掛椅子</v>
      </c>
      <c r="E216" s="3" t="str">
        <f t="shared" si="40"/>
        <v>肘付</v>
      </c>
      <c r="F216" s="2" t="str">
        <f t="shared" si="41"/>
        <v>０００１</v>
      </c>
      <c r="G216" s="2" t="str">
        <f>"3620003308"</f>
        <v>3620003308</v>
      </c>
      <c r="H216" s="2" t="str">
        <f t="shared" si="46"/>
        <v>001</v>
      </c>
      <c r="I216" s="2" t="str">
        <f t="shared" si="42"/>
        <v>4100401</v>
      </c>
      <c r="J216" s="2">
        <f>31400</f>
        <v>31400</v>
      </c>
      <c r="K216" s="2" t="str">
        <f t="shared" si="39"/>
        <v>脚</v>
      </c>
      <c r="L216" s="2" t="str">
        <f t="shared" si="43"/>
        <v>3630331</v>
      </c>
      <c r="M216" s="2" t="str">
        <f>""</f>
        <v/>
      </c>
    </row>
    <row r="217" spans="1:13" x14ac:dyDescent="0.15">
      <c r="A217" s="2" t="str">
        <f t="shared" si="37"/>
        <v>1881110500</v>
      </c>
      <c r="B217" s="2" t="str">
        <f t="shared" si="38"/>
        <v>佐伯・区政調整</v>
      </c>
      <c r="C217" s="2" t="str">
        <f t="shared" si="44"/>
        <v>01ｲ00311</v>
      </c>
      <c r="D217" s="2" t="str">
        <f t="shared" si="45"/>
        <v>肘掛椅子</v>
      </c>
      <c r="E217" s="3" t="str">
        <f t="shared" si="40"/>
        <v>肘付</v>
      </c>
      <c r="F217" s="2" t="str">
        <f t="shared" si="41"/>
        <v>０００１</v>
      </c>
      <c r="G217" s="2" t="str">
        <f>"3620003309"</f>
        <v>3620003309</v>
      </c>
      <c r="H217" s="2" t="str">
        <f t="shared" si="46"/>
        <v>001</v>
      </c>
      <c r="I217" s="2" t="str">
        <f t="shared" si="42"/>
        <v>4100401</v>
      </c>
      <c r="J217" s="2">
        <f>31400</f>
        <v>31400</v>
      </c>
      <c r="K217" s="2" t="str">
        <f t="shared" si="39"/>
        <v>脚</v>
      </c>
      <c r="L217" s="2" t="str">
        <f t="shared" si="43"/>
        <v>3630331</v>
      </c>
      <c r="M217" s="2" t="str">
        <f>""</f>
        <v/>
      </c>
    </row>
    <row r="218" spans="1:13" x14ac:dyDescent="0.15">
      <c r="A218" s="2" t="str">
        <f t="shared" ref="A218:A281" si="47">"1881110500"</f>
        <v>1881110500</v>
      </c>
      <c r="B218" s="2" t="str">
        <f t="shared" ref="B218:B281" si="48">"佐伯・区政調整"</f>
        <v>佐伯・区政調整</v>
      </c>
      <c r="C218" s="2" t="str">
        <f t="shared" si="44"/>
        <v>01ｲ00311</v>
      </c>
      <c r="D218" s="2" t="str">
        <f t="shared" si="45"/>
        <v>肘掛椅子</v>
      </c>
      <c r="E218" s="3" t="str">
        <f t="shared" si="40"/>
        <v>肘付</v>
      </c>
      <c r="F218" s="2" t="str">
        <f t="shared" si="41"/>
        <v>０００１</v>
      </c>
      <c r="G218" s="2" t="str">
        <f>"3620003310"</f>
        <v>3620003310</v>
      </c>
      <c r="H218" s="2" t="str">
        <f t="shared" si="46"/>
        <v>001</v>
      </c>
      <c r="I218" s="2" t="str">
        <f t="shared" si="42"/>
        <v>4100401</v>
      </c>
      <c r="J218" s="2">
        <f>31400</f>
        <v>31400</v>
      </c>
      <c r="K218" s="2" t="str">
        <f t="shared" ref="K218:K281" si="49">"脚"</f>
        <v>脚</v>
      </c>
      <c r="L218" s="2" t="str">
        <f t="shared" si="43"/>
        <v>3630331</v>
      </c>
      <c r="M218" s="2" t="str">
        <f>""</f>
        <v/>
      </c>
    </row>
    <row r="219" spans="1:13" x14ac:dyDescent="0.15">
      <c r="A219" s="2" t="str">
        <f t="shared" si="47"/>
        <v>1881110500</v>
      </c>
      <c r="B219" s="2" t="str">
        <f t="shared" si="48"/>
        <v>佐伯・区政調整</v>
      </c>
      <c r="C219" s="2" t="str">
        <f t="shared" si="44"/>
        <v>01ｲ00311</v>
      </c>
      <c r="D219" s="2" t="str">
        <f t="shared" si="45"/>
        <v>肘掛椅子</v>
      </c>
      <c r="E219" s="3" t="str">
        <f t="shared" si="40"/>
        <v>肘付</v>
      </c>
      <c r="F219" s="2" t="str">
        <f t="shared" si="41"/>
        <v>０００１</v>
      </c>
      <c r="G219" s="2" t="str">
        <f>"3620003311"</f>
        <v>3620003311</v>
      </c>
      <c r="H219" s="2" t="str">
        <f t="shared" si="46"/>
        <v>001</v>
      </c>
      <c r="I219" s="2" t="str">
        <f t="shared" si="42"/>
        <v>4100401</v>
      </c>
      <c r="J219" s="2">
        <f>31400</f>
        <v>31400</v>
      </c>
      <c r="K219" s="2" t="str">
        <f t="shared" si="49"/>
        <v>脚</v>
      </c>
      <c r="L219" s="2" t="str">
        <f t="shared" si="43"/>
        <v>3630331</v>
      </c>
      <c r="M219" s="2" t="str">
        <f>""</f>
        <v/>
      </c>
    </row>
    <row r="220" spans="1:13" x14ac:dyDescent="0.15">
      <c r="A220" s="2" t="str">
        <f t="shared" si="47"/>
        <v>1881110500</v>
      </c>
      <c r="B220" s="2" t="str">
        <f t="shared" si="48"/>
        <v>佐伯・区政調整</v>
      </c>
      <c r="C220" s="2" t="str">
        <f t="shared" si="44"/>
        <v>01ｲ00311</v>
      </c>
      <c r="D220" s="2" t="str">
        <f t="shared" si="45"/>
        <v>肘掛椅子</v>
      </c>
      <c r="E220" s="3" t="str">
        <f t="shared" si="40"/>
        <v>肘付</v>
      </c>
      <c r="F220" s="2" t="str">
        <f t="shared" si="41"/>
        <v>０００１</v>
      </c>
      <c r="G220" s="2" t="str">
        <f>"3620003312"</f>
        <v>3620003312</v>
      </c>
      <c r="H220" s="2" t="str">
        <f t="shared" si="46"/>
        <v>001</v>
      </c>
      <c r="I220" s="2" t="str">
        <f t="shared" si="42"/>
        <v>4100401</v>
      </c>
      <c r="J220" s="2">
        <f>31400</f>
        <v>31400</v>
      </c>
      <c r="K220" s="2" t="str">
        <f t="shared" si="49"/>
        <v>脚</v>
      </c>
      <c r="L220" s="2" t="str">
        <f t="shared" si="43"/>
        <v>3630331</v>
      </c>
      <c r="M220" s="2" t="str">
        <f>""</f>
        <v/>
      </c>
    </row>
    <row r="221" spans="1:13" x14ac:dyDescent="0.15">
      <c r="A221" s="2" t="str">
        <f t="shared" si="47"/>
        <v>1881110500</v>
      </c>
      <c r="B221" s="2" t="str">
        <f t="shared" si="48"/>
        <v>佐伯・区政調整</v>
      </c>
      <c r="C221" s="2" t="str">
        <f t="shared" si="44"/>
        <v>01ｲ00311</v>
      </c>
      <c r="D221" s="2" t="str">
        <f t="shared" si="45"/>
        <v>肘掛椅子</v>
      </c>
      <c r="E221" s="3" t="str">
        <f t="shared" si="40"/>
        <v>肘付</v>
      </c>
      <c r="F221" s="2" t="str">
        <f t="shared" si="41"/>
        <v>０００１</v>
      </c>
      <c r="G221" s="2" t="str">
        <f>"3620003313"</f>
        <v>3620003313</v>
      </c>
      <c r="H221" s="2" t="str">
        <f t="shared" si="46"/>
        <v>001</v>
      </c>
      <c r="I221" s="2" t="str">
        <f t="shared" si="42"/>
        <v>4100401</v>
      </c>
      <c r="J221" s="2">
        <f>31400</f>
        <v>31400</v>
      </c>
      <c r="K221" s="2" t="str">
        <f t="shared" si="49"/>
        <v>脚</v>
      </c>
      <c r="L221" s="2" t="str">
        <f t="shared" si="43"/>
        <v>3630331</v>
      </c>
      <c r="M221" s="2" t="str">
        <f>""</f>
        <v/>
      </c>
    </row>
    <row r="222" spans="1:13" x14ac:dyDescent="0.15">
      <c r="A222" s="2" t="str">
        <f t="shared" si="47"/>
        <v>1881110500</v>
      </c>
      <c r="B222" s="2" t="str">
        <f t="shared" si="48"/>
        <v>佐伯・区政調整</v>
      </c>
      <c r="C222" s="2" t="str">
        <f t="shared" si="44"/>
        <v>01ｲ00311</v>
      </c>
      <c r="D222" s="2" t="str">
        <f t="shared" si="45"/>
        <v>肘掛椅子</v>
      </c>
      <c r="E222" s="3" t="str">
        <f t="shared" si="40"/>
        <v>肘付</v>
      </c>
      <c r="F222" s="2" t="str">
        <f t="shared" si="41"/>
        <v>０００１</v>
      </c>
      <c r="G222" s="2" t="str">
        <f>"3620003314"</f>
        <v>3620003314</v>
      </c>
      <c r="H222" s="2" t="str">
        <f t="shared" si="46"/>
        <v>001</v>
      </c>
      <c r="I222" s="2" t="str">
        <f t="shared" si="42"/>
        <v>4100401</v>
      </c>
      <c r="J222" s="2">
        <f>31400</f>
        <v>31400</v>
      </c>
      <c r="K222" s="2" t="str">
        <f t="shared" si="49"/>
        <v>脚</v>
      </c>
      <c r="L222" s="2" t="str">
        <f t="shared" si="43"/>
        <v>3630331</v>
      </c>
      <c r="M222" s="2" t="str">
        <f>""</f>
        <v/>
      </c>
    </row>
    <row r="223" spans="1:13" x14ac:dyDescent="0.15">
      <c r="A223" s="2" t="str">
        <f t="shared" si="47"/>
        <v>1881110500</v>
      </c>
      <c r="B223" s="2" t="str">
        <f t="shared" si="48"/>
        <v>佐伯・区政調整</v>
      </c>
      <c r="C223" s="2" t="str">
        <f t="shared" si="44"/>
        <v>01ｲ00311</v>
      </c>
      <c r="D223" s="2" t="str">
        <f t="shared" si="45"/>
        <v>肘掛椅子</v>
      </c>
      <c r="E223" s="3" t="str">
        <f t="shared" si="40"/>
        <v>肘付</v>
      </c>
      <c r="F223" s="2" t="str">
        <f t="shared" si="41"/>
        <v>０００１</v>
      </c>
      <c r="G223" s="2" t="str">
        <f>"3620003315"</f>
        <v>3620003315</v>
      </c>
      <c r="H223" s="2" t="str">
        <f t="shared" si="46"/>
        <v>001</v>
      </c>
      <c r="I223" s="2" t="str">
        <f t="shared" si="42"/>
        <v>4100401</v>
      </c>
      <c r="J223" s="2">
        <f>31400</f>
        <v>31400</v>
      </c>
      <c r="K223" s="2" t="str">
        <f t="shared" si="49"/>
        <v>脚</v>
      </c>
      <c r="L223" s="2" t="str">
        <f t="shared" si="43"/>
        <v>3630331</v>
      </c>
      <c r="M223" s="2" t="str">
        <f>""</f>
        <v/>
      </c>
    </row>
    <row r="224" spans="1:13" x14ac:dyDescent="0.15">
      <c r="A224" s="2" t="str">
        <f t="shared" si="47"/>
        <v>1881110500</v>
      </c>
      <c r="B224" s="2" t="str">
        <f t="shared" si="48"/>
        <v>佐伯・区政調整</v>
      </c>
      <c r="C224" s="2" t="str">
        <f t="shared" si="44"/>
        <v>01ｲ00311</v>
      </c>
      <c r="D224" s="2" t="str">
        <f t="shared" si="45"/>
        <v>肘掛椅子</v>
      </c>
      <c r="E224" s="3" t="str">
        <f t="shared" si="40"/>
        <v>肘付</v>
      </c>
      <c r="F224" s="2" t="str">
        <f t="shared" si="41"/>
        <v>０００１</v>
      </c>
      <c r="G224" s="2" t="str">
        <f>"3620003316"</f>
        <v>3620003316</v>
      </c>
      <c r="H224" s="2" t="str">
        <f t="shared" si="46"/>
        <v>001</v>
      </c>
      <c r="I224" s="2" t="str">
        <f t="shared" si="42"/>
        <v>4100401</v>
      </c>
      <c r="J224" s="2">
        <f>31400</f>
        <v>31400</v>
      </c>
      <c r="K224" s="2" t="str">
        <f t="shared" si="49"/>
        <v>脚</v>
      </c>
      <c r="L224" s="2" t="str">
        <f t="shared" si="43"/>
        <v>3630331</v>
      </c>
      <c r="M224" s="2" t="str">
        <f>""</f>
        <v/>
      </c>
    </row>
    <row r="225" spans="1:13" x14ac:dyDescent="0.15">
      <c r="A225" s="2" t="str">
        <f t="shared" si="47"/>
        <v>1881110500</v>
      </c>
      <c r="B225" s="2" t="str">
        <f t="shared" si="48"/>
        <v>佐伯・区政調整</v>
      </c>
      <c r="C225" s="2" t="str">
        <f t="shared" si="44"/>
        <v>01ｲ00311</v>
      </c>
      <c r="D225" s="2" t="str">
        <f t="shared" si="45"/>
        <v>肘掛椅子</v>
      </c>
      <c r="E225" s="3" t="str">
        <f t="shared" si="40"/>
        <v>肘付</v>
      </c>
      <c r="F225" s="2" t="str">
        <f t="shared" si="41"/>
        <v>０００１</v>
      </c>
      <c r="G225" s="2" t="str">
        <f>"3620003317"</f>
        <v>3620003317</v>
      </c>
      <c r="H225" s="2" t="str">
        <f t="shared" si="46"/>
        <v>001</v>
      </c>
      <c r="I225" s="2" t="str">
        <f t="shared" si="42"/>
        <v>4100401</v>
      </c>
      <c r="J225" s="2">
        <f>31400</f>
        <v>31400</v>
      </c>
      <c r="K225" s="2" t="str">
        <f t="shared" si="49"/>
        <v>脚</v>
      </c>
      <c r="L225" s="2" t="str">
        <f t="shared" si="43"/>
        <v>3630331</v>
      </c>
      <c r="M225" s="2" t="str">
        <f>""</f>
        <v/>
      </c>
    </row>
    <row r="226" spans="1:13" x14ac:dyDescent="0.15">
      <c r="A226" s="2" t="str">
        <f t="shared" si="47"/>
        <v>1881110500</v>
      </c>
      <c r="B226" s="2" t="str">
        <f t="shared" si="48"/>
        <v>佐伯・区政調整</v>
      </c>
      <c r="C226" s="2" t="str">
        <f t="shared" si="44"/>
        <v>01ｲ00311</v>
      </c>
      <c r="D226" s="2" t="str">
        <f t="shared" si="45"/>
        <v>肘掛椅子</v>
      </c>
      <c r="E226" s="3" t="str">
        <f t="shared" ref="E226:E289" si="50">"肘付"</f>
        <v>肘付</v>
      </c>
      <c r="F226" s="2" t="str">
        <f t="shared" ref="F226:F289" si="51">"０００１"</f>
        <v>０００１</v>
      </c>
      <c r="G226" s="2" t="str">
        <f>"3620003318"</f>
        <v>3620003318</v>
      </c>
      <c r="H226" s="2" t="str">
        <f t="shared" si="46"/>
        <v>001</v>
      </c>
      <c r="I226" s="2" t="str">
        <f t="shared" ref="I226:I289" si="52">"4100401"</f>
        <v>4100401</v>
      </c>
      <c r="J226" s="2">
        <f>31400</f>
        <v>31400</v>
      </c>
      <c r="K226" s="2" t="str">
        <f t="shared" si="49"/>
        <v>脚</v>
      </c>
      <c r="L226" s="2" t="str">
        <f t="shared" ref="L226:L289" si="53">"3630331"</f>
        <v>3630331</v>
      </c>
      <c r="M226" s="2" t="str">
        <f>""</f>
        <v/>
      </c>
    </row>
    <row r="227" spans="1:13" x14ac:dyDescent="0.15">
      <c r="A227" s="2" t="str">
        <f t="shared" si="47"/>
        <v>1881110500</v>
      </c>
      <c r="B227" s="2" t="str">
        <f t="shared" si="48"/>
        <v>佐伯・区政調整</v>
      </c>
      <c r="C227" s="2" t="str">
        <f t="shared" si="44"/>
        <v>01ｲ00311</v>
      </c>
      <c r="D227" s="2" t="str">
        <f t="shared" si="45"/>
        <v>肘掛椅子</v>
      </c>
      <c r="E227" s="3" t="str">
        <f t="shared" si="50"/>
        <v>肘付</v>
      </c>
      <c r="F227" s="2" t="str">
        <f t="shared" si="51"/>
        <v>０００１</v>
      </c>
      <c r="G227" s="2" t="str">
        <f>"3620003319"</f>
        <v>3620003319</v>
      </c>
      <c r="H227" s="2" t="str">
        <f t="shared" si="46"/>
        <v>001</v>
      </c>
      <c r="I227" s="2" t="str">
        <f t="shared" si="52"/>
        <v>4100401</v>
      </c>
      <c r="J227" s="2">
        <f>31400</f>
        <v>31400</v>
      </c>
      <c r="K227" s="2" t="str">
        <f t="shared" si="49"/>
        <v>脚</v>
      </c>
      <c r="L227" s="2" t="str">
        <f t="shared" si="53"/>
        <v>3630331</v>
      </c>
      <c r="M227" s="2" t="str">
        <f>""</f>
        <v/>
      </c>
    </row>
    <row r="228" spans="1:13" x14ac:dyDescent="0.15">
      <c r="A228" s="2" t="str">
        <f t="shared" si="47"/>
        <v>1881110500</v>
      </c>
      <c r="B228" s="2" t="str">
        <f t="shared" si="48"/>
        <v>佐伯・区政調整</v>
      </c>
      <c r="C228" s="2" t="str">
        <f t="shared" si="44"/>
        <v>01ｲ00311</v>
      </c>
      <c r="D228" s="2" t="str">
        <f t="shared" si="45"/>
        <v>肘掛椅子</v>
      </c>
      <c r="E228" s="3" t="str">
        <f t="shared" si="50"/>
        <v>肘付</v>
      </c>
      <c r="F228" s="2" t="str">
        <f t="shared" si="51"/>
        <v>０００１</v>
      </c>
      <c r="G228" s="2" t="str">
        <f>"3620003320"</f>
        <v>3620003320</v>
      </c>
      <c r="H228" s="2" t="str">
        <f t="shared" si="46"/>
        <v>001</v>
      </c>
      <c r="I228" s="2" t="str">
        <f t="shared" si="52"/>
        <v>4100401</v>
      </c>
      <c r="J228" s="2">
        <f>31400</f>
        <v>31400</v>
      </c>
      <c r="K228" s="2" t="str">
        <f t="shared" si="49"/>
        <v>脚</v>
      </c>
      <c r="L228" s="2" t="str">
        <f t="shared" si="53"/>
        <v>3630331</v>
      </c>
      <c r="M228" s="2" t="str">
        <f>""</f>
        <v/>
      </c>
    </row>
    <row r="229" spans="1:13" x14ac:dyDescent="0.15">
      <c r="A229" s="2" t="str">
        <f t="shared" si="47"/>
        <v>1881110500</v>
      </c>
      <c r="B229" s="2" t="str">
        <f t="shared" si="48"/>
        <v>佐伯・区政調整</v>
      </c>
      <c r="C229" s="2" t="str">
        <f t="shared" si="44"/>
        <v>01ｲ00311</v>
      </c>
      <c r="D229" s="2" t="str">
        <f t="shared" si="45"/>
        <v>肘掛椅子</v>
      </c>
      <c r="E229" s="3" t="str">
        <f t="shared" si="50"/>
        <v>肘付</v>
      </c>
      <c r="F229" s="2" t="str">
        <f t="shared" si="51"/>
        <v>０００１</v>
      </c>
      <c r="G229" s="2" t="str">
        <f>"3620003321"</f>
        <v>3620003321</v>
      </c>
      <c r="H229" s="2" t="str">
        <f t="shared" si="46"/>
        <v>001</v>
      </c>
      <c r="I229" s="2" t="str">
        <f t="shared" si="52"/>
        <v>4100401</v>
      </c>
      <c r="J229" s="2">
        <f>31400</f>
        <v>31400</v>
      </c>
      <c r="K229" s="2" t="str">
        <f t="shared" si="49"/>
        <v>脚</v>
      </c>
      <c r="L229" s="2" t="str">
        <f t="shared" si="53"/>
        <v>3630331</v>
      </c>
      <c r="M229" s="2" t="str">
        <f>""</f>
        <v/>
      </c>
    </row>
    <row r="230" spans="1:13" x14ac:dyDescent="0.15">
      <c r="A230" s="2" t="str">
        <f t="shared" si="47"/>
        <v>1881110500</v>
      </c>
      <c r="B230" s="2" t="str">
        <f t="shared" si="48"/>
        <v>佐伯・区政調整</v>
      </c>
      <c r="C230" s="2" t="str">
        <f t="shared" si="44"/>
        <v>01ｲ00311</v>
      </c>
      <c r="D230" s="2" t="str">
        <f t="shared" si="45"/>
        <v>肘掛椅子</v>
      </c>
      <c r="E230" s="3" t="str">
        <f t="shared" si="50"/>
        <v>肘付</v>
      </c>
      <c r="F230" s="2" t="str">
        <f t="shared" si="51"/>
        <v>０００１</v>
      </c>
      <c r="G230" s="2" t="str">
        <f>"3620003322"</f>
        <v>3620003322</v>
      </c>
      <c r="H230" s="2" t="str">
        <f t="shared" si="46"/>
        <v>001</v>
      </c>
      <c r="I230" s="2" t="str">
        <f t="shared" si="52"/>
        <v>4100401</v>
      </c>
      <c r="J230" s="2">
        <f>31400</f>
        <v>31400</v>
      </c>
      <c r="K230" s="2" t="str">
        <f t="shared" si="49"/>
        <v>脚</v>
      </c>
      <c r="L230" s="2" t="str">
        <f t="shared" si="53"/>
        <v>3630331</v>
      </c>
      <c r="M230" s="2" t="str">
        <f>""</f>
        <v/>
      </c>
    </row>
    <row r="231" spans="1:13" x14ac:dyDescent="0.15">
      <c r="A231" s="2" t="str">
        <f t="shared" si="47"/>
        <v>1881110500</v>
      </c>
      <c r="B231" s="2" t="str">
        <f t="shared" si="48"/>
        <v>佐伯・区政調整</v>
      </c>
      <c r="C231" s="2" t="str">
        <f t="shared" si="44"/>
        <v>01ｲ00311</v>
      </c>
      <c r="D231" s="2" t="str">
        <f t="shared" si="45"/>
        <v>肘掛椅子</v>
      </c>
      <c r="E231" s="3" t="str">
        <f t="shared" si="50"/>
        <v>肘付</v>
      </c>
      <c r="F231" s="2" t="str">
        <f t="shared" si="51"/>
        <v>０００１</v>
      </c>
      <c r="G231" s="2" t="str">
        <f>"3620003323"</f>
        <v>3620003323</v>
      </c>
      <c r="H231" s="2" t="str">
        <f t="shared" si="46"/>
        <v>001</v>
      </c>
      <c r="I231" s="2" t="str">
        <f t="shared" si="52"/>
        <v>4100401</v>
      </c>
      <c r="J231" s="2">
        <f>31400</f>
        <v>31400</v>
      </c>
      <c r="K231" s="2" t="str">
        <f t="shared" si="49"/>
        <v>脚</v>
      </c>
      <c r="L231" s="2" t="str">
        <f t="shared" si="53"/>
        <v>3630331</v>
      </c>
      <c r="M231" s="2" t="str">
        <f>""</f>
        <v/>
      </c>
    </row>
    <row r="232" spans="1:13" x14ac:dyDescent="0.15">
      <c r="A232" s="2" t="str">
        <f t="shared" si="47"/>
        <v>1881110500</v>
      </c>
      <c r="B232" s="2" t="str">
        <f t="shared" si="48"/>
        <v>佐伯・区政調整</v>
      </c>
      <c r="C232" s="2" t="str">
        <f t="shared" si="44"/>
        <v>01ｲ00311</v>
      </c>
      <c r="D232" s="2" t="str">
        <f t="shared" si="45"/>
        <v>肘掛椅子</v>
      </c>
      <c r="E232" s="3" t="str">
        <f t="shared" si="50"/>
        <v>肘付</v>
      </c>
      <c r="F232" s="2" t="str">
        <f t="shared" si="51"/>
        <v>０００１</v>
      </c>
      <c r="G232" s="2" t="str">
        <f>"3620003324"</f>
        <v>3620003324</v>
      </c>
      <c r="H232" s="2" t="str">
        <f t="shared" si="46"/>
        <v>001</v>
      </c>
      <c r="I232" s="2" t="str">
        <f t="shared" si="52"/>
        <v>4100401</v>
      </c>
      <c r="J232" s="2">
        <f>31400</f>
        <v>31400</v>
      </c>
      <c r="K232" s="2" t="str">
        <f t="shared" si="49"/>
        <v>脚</v>
      </c>
      <c r="L232" s="2" t="str">
        <f t="shared" si="53"/>
        <v>3630331</v>
      </c>
      <c r="M232" s="2" t="str">
        <f>""</f>
        <v/>
      </c>
    </row>
    <row r="233" spans="1:13" x14ac:dyDescent="0.15">
      <c r="A233" s="2" t="str">
        <f t="shared" si="47"/>
        <v>1881110500</v>
      </c>
      <c r="B233" s="2" t="str">
        <f t="shared" si="48"/>
        <v>佐伯・区政調整</v>
      </c>
      <c r="C233" s="2" t="str">
        <f t="shared" si="44"/>
        <v>01ｲ00311</v>
      </c>
      <c r="D233" s="2" t="str">
        <f t="shared" si="45"/>
        <v>肘掛椅子</v>
      </c>
      <c r="E233" s="3" t="str">
        <f t="shared" si="50"/>
        <v>肘付</v>
      </c>
      <c r="F233" s="2" t="str">
        <f t="shared" si="51"/>
        <v>０００１</v>
      </c>
      <c r="G233" s="2" t="str">
        <f>"3620003325"</f>
        <v>3620003325</v>
      </c>
      <c r="H233" s="2" t="str">
        <f t="shared" si="46"/>
        <v>001</v>
      </c>
      <c r="I233" s="2" t="str">
        <f t="shared" si="52"/>
        <v>4100401</v>
      </c>
      <c r="J233" s="2">
        <f>31400</f>
        <v>31400</v>
      </c>
      <c r="K233" s="2" t="str">
        <f t="shared" si="49"/>
        <v>脚</v>
      </c>
      <c r="L233" s="2" t="str">
        <f t="shared" si="53"/>
        <v>3630331</v>
      </c>
      <c r="M233" s="2" t="str">
        <f>""</f>
        <v/>
      </c>
    </row>
    <row r="234" spans="1:13" x14ac:dyDescent="0.15">
      <c r="A234" s="2" t="str">
        <f t="shared" si="47"/>
        <v>1881110500</v>
      </c>
      <c r="B234" s="2" t="str">
        <f t="shared" si="48"/>
        <v>佐伯・区政調整</v>
      </c>
      <c r="C234" s="2" t="str">
        <f t="shared" si="44"/>
        <v>01ｲ00311</v>
      </c>
      <c r="D234" s="2" t="str">
        <f t="shared" si="45"/>
        <v>肘掛椅子</v>
      </c>
      <c r="E234" s="3" t="str">
        <f t="shared" si="50"/>
        <v>肘付</v>
      </c>
      <c r="F234" s="2" t="str">
        <f t="shared" si="51"/>
        <v>０００１</v>
      </c>
      <c r="G234" s="2" t="str">
        <f>"3620003326"</f>
        <v>3620003326</v>
      </c>
      <c r="H234" s="2" t="str">
        <f t="shared" si="46"/>
        <v>001</v>
      </c>
      <c r="I234" s="2" t="str">
        <f t="shared" si="52"/>
        <v>4100401</v>
      </c>
      <c r="J234" s="2">
        <f>31400</f>
        <v>31400</v>
      </c>
      <c r="K234" s="2" t="str">
        <f t="shared" si="49"/>
        <v>脚</v>
      </c>
      <c r="L234" s="2" t="str">
        <f t="shared" si="53"/>
        <v>3630331</v>
      </c>
      <c r="M234" s="2" t="str">
        <f>""</f>
        <v/>
      </c>
    </row>
    <row r="235" spans="1:13" x14ac:dyDescent="0.15">
      <c r="A235" s="2" t="str">
        <f t="shared" si="47"/>
        <v>1881110500</v>
      </c>
      <c r="B235" s="2" t="str">
        <f t="shared" si="48"/>
        <v>佐伯・区政調整</v>
      </c>
      <c r="C235" s="2" t="str">
        <f t="shared" si="44"/>
        <v>01ｲ00311</v>
      </c>
      <c r="D235" s="2" t="str">
        <f t="shared" si="45"/>
        <v>肘掛椅子</v>
      </c>
      <c r="E235" s="3" t="str">
        <f t="shared" si="50"/>
        <v>肘付</v>
      </c>
      <c r="F235" s="2" t="str">
        <f t="shared" si="51"/>
        <v>０００１</v>
      </c>
      <c r="G235" s="2" t="str">
        <f>"3620003327"</f>
        <v>3620003327</v>
      </c>
      <c r="H235" s="2" t="str">
        <f t="shared" si="46"/>
        <v>001</v>
      </c>
      <c r="I235" s="2" t="str">
        <f t="shared" si="52"/>
        <v>4100401</v>
      </c>
      <c r="J235" s="2">
        <f>31400</f>
        <v>31400</v>
      </c>
      <c r="K235" s="2" t="str">
        <f t="shared" si="49"/>
        <v>脚</v>
      </c>
      <c r="L235" s="2" t="str">
        <f t="shared" si="53"/>
        <v>3630331</v>
      </c>
      <c r="M235" s="2" t="str">
        <f>""</f>
        <v/>
      </c>
    </row>
    <row r="236" spans="1:13" x14ac:dyDescent="0.15">
      <c r="A236" s="2" t="str">
        <f t="shared" si="47"/>
        <v>1881110500</v>
      </c>
      <c r="B236" s="2" t="str">
        <f t="shared" si="48"/>
        <v>佐伯・区政調整</v>
      </c>
      <c r="C236" s="2" t="str">
        <f t="shared" si="44"/>
        <v>01ｲ00311</v>
      </c>
      <c r="D236" s="2" t="str">
        <f t="shared" si="45"/>
        <v>肘掛椅子</v>
      </c>
      <c r="E236" s="3" t="str">
        <f t="shared" si="50"/>
        <v>肘付</v>
      </c>
      <c r="F236" s="2" t="str">
        <f t="shared" si="51"/>
        <v>０００１</v>
      </c>
      <c r="G236" s="2" t="str">
        <f>"3620003328"</f>
        <v>3620003328</v>
      </c>
      <c r="H236" s="2" t="str">
        <f t="shared" si="46"/>
        <v>001</v>
      </c>
      <c r="I236" s="2" t="str">
        <f t="shared" si="52"/>
        <v>4100401</v>
      </c>
      <c r="J236" s="2">
        <f>31400</f>
        <v>31400</v>
      </c>
      <c r="K236" s="2" t="str">
        <f t="shared" si="49"/>
        <v>脚</v>
      </c>
      <c r="L236" s="2" t="str">
        <f t="shared" si="53"/>
        <v>3630331</v>
      </c>
      <c r="M236" s="2" t="str">
        <f>""</f>
        <v/>
      </c>
    </row>
    <row r="237" spans="1:13" x14ac:dyDescent="0.15">
      <c r="A237" s="2" t="str">
        <f t="shared" si="47"/>
        <v>1881110500</v>
      </c>
      <c r="B237" s="2" t="str">
        <f t="shared" si="48"/>
        <v>佐伯・区政調整</v>
      </c>
      <c r="C237" s="2" t="str">
        <f t="shared" si="44"/>
        <v>01ｲ00311</v>
      </c>
      <c r="D237" s="2" t="str">
        <f t="shared" si="45"/>
        <v>肘掛椅子</v>
      </c>
      <c r="E237" s="3" t="str">
        <f t="shared" si="50"/>
        <v>肘付</v>
      </c>
      <c r="F237" s="2" t="str">
        <f t="shared" si="51"/>
        <v>０００１</v>
      </c>
      <c r="G237" s="2" t="str">
        <f>"3620003329"</f>
        <v>3620003329</v>
      </c>
      <c r="H237" s="2" t="str">
        <f t="shared" si="46"/>
        <v>001</v>
      </c>
      <c r="I237" s="2" t="str">
        <f t="shared" si="52"/>
        <v>4100401</v>
      </c>
      <c r="J237" s="2">
        <f>31400</f>
        <v>31400</v>
      </c>
      <c r="K237" s="2" t="str">
        <f t="shared" si="49"/>
        <v>脚</v>
      </c>
      <c r="L237" s="2" t="str">
        <f t="shared" si="53"/>
        <v>3630331</v>
      </c>
      <c r="M237" s="2" t="str">
        <f>""</f>
        <v/>
      </c>
    </row>
    <row r="238" spans="1:13" x14ac:dyDescent="0.15">
      <c r="A238" s="2" t="str">
        <f t="shared" si="47"/>
        <v>1881110500</v>
      </c>
      <c r="B238" s="2" t="str">
        <f t="shared" si="48"/>
        <v>佐伯・区政調整</v>
      </c>
      <c r="C238" s="2" t="str">
        <f t="shared" si="44"/>
        <v>01ｲ00311</v>
      </c>
      <c r="D238" s="2" t="str">
        <f t="shared" si="45"/>
        <v>肘掛椅子</v>
      </c>
      <c r="E238" s="3" t="str">
        <f t="shared" si="50"/>
        <v>肘付</v>
      </c>
      <c r="F238" s="2" t="str">
        <f t="shared" si="51"/>
        <v>０００１</v>
      </c>
      <c r="G238" s="2" t="str">
        <f>"3620003330"</f>
        <v>3620003330</v>
      </c>
      <c r="H238" s="2" t="str">
        <f t="shared" si="46"/>
        <v>001</v>
      </c>
      <c r="I238" s="2" t="str">
        <f t="shared" si="52"/>
        <v>4100401</v>
      </c>
      <c r="J238" s="2">
        <f>31400</f>
        <v>31400</v>
      </c>
      <c r="K238" s="2" t="str">
        <f t="shared" si="49"/>
        <v>脚</v>
      </c>
      <c r="L238" s="2" t="str">
        <f t="shared" si="53"/>
        <v>3630331</v>
      </c>
      <c r="M238" s="2" t="str">
        <f>""</f>
        <v/>
      </c>
    </row>
    <row r="239" spans="1:13" x14ac:dyDescent="0.15">
      <c r="A239" s="2" t="str">
        <f t="shared" si="47"/>
        <v>1881110500</v>
      </c>
      <c r="B239" s="2" t="str">
        <f t="shared" si="48"/>
        <v>佐伯・区政調整</v>
      </c>
      <c r="C239" s="2" t="str">
        <f t="shared" si="44"/>
        <v>01ｲ00311</v>
      </c>
      <c r="D239" s="2" t="str">
        <f t="shared" si="45"/>
        <v>肘掛椅子</v>
      </c>
      <c r="E239" s="3" t="str">
        <f t="shared" si="50"/>
        <v>肘付</v>
      </c>
      <c r="F239" s="2" t="str">
        <f t="shared" si="51"/>
        <v>０００１</v>
      </c>
      <c r="G239" s="2" t="str">
        <f>"3620003331"</f>
        <v>3620003331</v>
      </c>
      <c r="H239" s="2" t="str">
        <f t="shared" si="46"/>
        <v>001</v>
      </c>
      <c r="I239" s="2" t="str">
        <f t="shared" si="52"/>
        <v>4100401</v>
      </c>
      <c r="J239" s="2">
        <f>31400</f>
        <v>31400</v>
      </c>
      <c r="K239" s="2" t="str">
        <f t="shared" si="49"/>
        <v>脚</v>
      </c>
      <c r="L239" s="2" t="str">
        <f t="shared" si="53"/>
        <v>3630331</v>
      </c>
      <c r="M239" s="2" t="str">
        <f>""</f>
        <v/>
      </c>
    </row>
    <row r="240" spans="1:13" x14ac:dyDescent="0.15">
      <c r="A240" s="2" t="str">
        <f t="shared" si="47"/>
        <v>1881110500</v>
      </c>
      <c r="B240" s="2" t="str">
        <f t="shared" si="48"/>
        <v>佐伯・区政調整</v>
      </c>
      <c r="C240" s="2" t="str">
        <f t="shared" si="44"/>
        <v>01ｲ00311</v>
      </c>
      <c r="D240" s="2" t="str">
        <f t="shared" si="45"/>
        <v>肘掛椅子</v>
      </c>
      <c r="E240" s="3" t="str">
        <f t="shared" si="50"/>
        <v>肘付</v>
      </c>
      <c r="F240" s="2" t="str">
        <f t="shared" si="51"/>
        <v>０００１</v>
      </c>
      <c r="G240" s="2" t="str">
        <f>"3620003332"</f>
        <v>3620003332</v>
      </c>
      <c r="H240" s="2" t="str">
        <f t="shared" si="46"/>
        <v>001</v>
      </c>
      <c r="I240" s="2" t="str">
        <f t="shared" si="52"/>
        <v>4100401</v>
      </c>
      <c r="J240" s="2">
        <f>31400</f>
        <v>31400</v>
      </c>
      <c r="K240" s="2" t="str">
        <f t="shared" si="49"/>
        <v>脚</v>
      </c>
      <c r="L240" s="2" t="str">
        <f t="shared" si="53"/>
        <v>3630331</v>
      </c>
      <c r="M240" s="2" t="str">
        <f>""</f>
        <v/>
      </c>
    </row>
    <row r="241" spans="1:13" x14ac:dyDescent="0.15">
      <c r="A241" s="2" t="str">
        <f t="shared" si="47"/>
        <v>1881110500</v>
      </c>
      <c r="B241" s="2" t="str">
        <f t="shared" si="48"/>
        <v>佐伯・区政調整</v>
      </c>
      <c r="C241" s="2" t="str">
        <f t="shared" si="44"/>
        <v>01ｲ00311</v>
      </c>
      <c r="D241" s="2" t="str">
        <f t="shared" si="45"/>
        <v>肘掛椅子</v>
      </c>
      <c r="E241" s="3" t="str">
        <f t="shared" si="50"/>
        <v>肘付</v>
      </c>
      <c r="F241" s="2" t="str">
        <f t="shared" si="51"/>
        <v>０００１</v>
      </c>
      <c r="G241" s="2" t="str">
        <f>"3620003333"</f>
        <v>3620003333</v>
      </c>
      <c r="H241" s="2" t="str">
        <f t="shared" si="46"/>
        <v>001</v>
      </c>
      <c r="I241" s="2" t="str">
        <f t="shared" si="52"/>
        <v>4100401</v>
      </c>
      <c r="J241" s="2">
        <f>31400</f>
        <v>31400</v>
      </c>
      <c r="K241" s="2" t="str">
        <f t="shared" si="49"/>
        <v>脚</v>
      </c>
      <c r="L241" s="2" t="str">
        <f t="shared" si="53"/>
        <v>3630331</v>
      </c>
      <c r="M241" s="2" t="str">
        <f>""</f>
        <v/>
      </c>
    </row>
    <row r="242" spans="1:13" x14ac:dyDescent="0.15">
      <c r="A242" s="2" t="str">
        <f t="shared" si="47"/>
        <v>1881110500</v>
      </c>
      <c r="B242" s="2" t="str">
        <f t="shared" si="48"/>
        <v>佐伯・区政調整</v>
      </c>
      <c r="C242" s="2" t="str">
        <f t="shared" si="44"/>
        <v>01ｲ00311</v>
      </c>
      <c r="D242" s="2" t="str">
        <f t="shared" si="45"/>
        <v>肘掛椅子</v>
      </c>
      <c r="E242" s="3" t="str">
        <f t="shared" si="50"/>
        <v>肘付</v>
      </c>
      <c r="F242" s="2" t="str">
        <f t="shared" si="51"/>
        <v>０００１</v>
      </c>
      <c r="G242" s="2" t="str">
        <f>"3620003334"</f>
        <v>3620003334</v>
      </c>
      <c r="H242" s="2" t="str">
        <f t="shared" si="46"/>
        <v>001</v>
      </c>
      <c r="I242" s="2" t="str">
        <f t="shared" si="52"/>
        <v>4100401</v>
      </c>
      <c r="J242" s="2">
        <f>31400</f>
        <v>31400</v>
      </c>
      <c r="K242" s="2" t="str">
        <f t="shared" si="49"/>
        <v>脚</v>
      </c>
      <c r="L242" s="2" t="str">
        <f t="shared" si="53"/>
        <v>3630331</v>
      </c>
      <c r="M242" s="2" t="str">
        <f>""</f>
        <v/>
      </c>
    </row>
    <row r="243" spans="1:13" x14ac:dyDescent="0.15">
      <c r="A243" s="2" t="str">
        <f t="shared" si="47"/>
        <v>1881110500</v>
      </c>
      <c r="B243" s="2" t="str">
        <f t="shared" si="48"/>
        <v>佐伯・区政調整</v>
      </c>
      <c r="C243" s="2" t="str">
        <f t="shared" si="44"/>
        <v>01ｲ00311</v>
      </c>
      <c r="D243" s="2" t="str">
        <f t="shared" si="45"/>
        <v>肘掛椅子</v>
      </c>
      <c r="E243" s="3" t="str">
        <f t="shared" si="50"/>
        <v>肘付</v>
      </c>
      <c r="F243" s="2" t="str">
        <f t="shared" si="51"/>
        <v>０００１</v>
      </c>
      <c r="G243" s="2" t="str">
        <f>"3620003335"</f>
        <v>3620003335</v>
      </c>
      <c r="H243" s="2" t="str">
        <f t="shared" si="46"/>
        <v>001</v>
      </c>
      <c r="I243" s="2" t="str">
        <f t="shared" si="52"/>
        <v>4100401</v>
      </c>
      <c r="J243" s="2">
        <f>31400</f>
        <v>31400</v>
      </c>
      <c r="K243" s="2" t="str">
        <f t="shared" si="49"/>
        <v>脚</v>
      </c>
      <c r="L243" s="2" t="str">
        <f t="shared" si="53"/>
        <v>3630331</v>
      </c>
      <c r="M243" s="2" t="str">
        <f>""</f>
        <v/>
      </c>
    </row>
    <row r="244" spans="1:13" x14ac:dyDescent="0.15">
      <c r="A244" s="2" t="str">
        <f t="shared" si="47"/>
        <v>1881110500</v>
      </c>
      <c r="B244" s="2" t="str">
        <f t="shared" si="48"/>
        <v>佐伯・区政調整</v>
      </c>
      <c r="C244" s="2" t="str">
        <f t="shared" si="44"/>
        <v>01ｲ00311</v>
      </c>
      <c r="D244" s="2" t="str">
        <f t="shared" si="45"/>
        <v>肘掛椅子</v>
      </c>
      <c r="E244" s="3" t="str">
        <f t="shared" si="50"/>
        <v>肘付</v>
      </c>
      <c r="F244" s="2" t="str">
        <f t="shared" si="51"/>
        <v>０００１</v>
      </c>
      <c r="G244" s="2" t="str">
        <f>"3620003336"</f>
        <v>3620003336</v>
      </c>
      <c r="H244" s="2" t="str">
        <f t="shared" si="46"/>
        <v>001</v>
      </c>
      <c r="I244" s="2" t="str">
        <f t="shared" si="52"/>
        <v>4100401</v>
      </c>
      <c r="J244" s="2">
        <f>31400</f>
        <v>31400</v>
      </c>
      <c r="K244" s="2" t="str">
        <f t="shared" si="49"/>
        <v>脚</v>
      </c>
      <c r="L244" s="2" t="str">
        <f t="shared" si="53"/>
        <v>3630331</v>
      </c>
      <c r="M244" s="2" t="str">
        <f>""</f>
        <v/>
      </c>
    </row>
    <row r="245" spans="1:13" x14ac:dyDescent="0.15">
      <c r="A245" s="2" t="str">
        <f t="shared" si="47"/>
        <v>1881110500</v>
      </c>
      <c r="B245" s="2" t="str">
        <f t="shared" si="48"/>
        <v>佐伯・区政調整</v>
      </c>
      <c r="C245" s="2" t="str">
        <f t="shared" si="44"/>
        <v>01ｲ00311</v>
      </c>
      <c r="D245" s="2" t="str">
        <f t="shared" si="45"/>
        <v>肘掛椅子</v>
      </c>
      <c r="E245" s="3" t="str">
        <f t="shared" si="50"/>
        <v>肘付</v>
      </c>
      <c r="F245" s="2" t="str">
        <f t="shared" si="51"/>
        <v>０００１</v>
      </c>
      <c r="G245" s="2" t="str">
        <f>"3620003337"</f>
        <v>3620003337</v>
      </c>
      <c r="H245" s="2" t="str">
        <f t="shared" si="46"/>
        <v>001</v>
      </c>
      <c r="I245" s="2" t="str">
        <f t="shared" si="52"/>
        <v>4100401</v>
      </c>
      <c r="J245" s="2">
        <f>31400</f>
        <v>31400</v>
      </c>
      <c r="K245" s="2" t="str">
        <f t="shared" si="49"/>
        <v>脚</v>
      </c>
      <c r="L245" s="2" t="str">
        <f t="shared" si="53"/>
        <v>3630331</v>
      </c>
      <c r="M245" s="2" t="str">
        <f>""</f>
        <v/>
      </c>
    </row>
    <row r="246" spans="1:13" x14ac:dyDescent="0.15">
      <c r="A246" s="2" t="str">
        <f t="shared" si="47"/>
        <v>1881110500</v>
      </c>
      <c r="B246" s="2" t="str">
        <f t="shared" si="48"/>
        <v>佐伯・区政調整</v>
      </c>
      <c r="C246" s="2" t="str">
        <f t="shared" si="44"/>
        <v>01ｲ00311</v>
      </c>
      <c r="D246" s="2" t="str">
        <f t="shared" si="45"/>
        <v>肘掛椅子</v>
      </c>
      <c r="E246" s="3" t="str">
        <f t="shared" si="50"/>
        <v>肘付</v>
      </c>
      <c r="F246" s="2" t="str">
        <f t="shared" si="51"/>
        <v>０００１</v>
      </c>
      <c r="G246" s="2" t="str">
        <f>"3620003338"</f>
        <v>3620003338</v>
      </c>
      <c r="H246" s="2" t="str">
        <f t="shared" si="46"/>
        <v>001</v>
      </c>
      <c r="I246" s="2" t="str">
        <f t="shared" si="52"/>
        <v>4100401</v>
      </c>
      <c r="J246" s="2">
        <f>31400</f>
        <v>31400</v>
      </c>
      <c r="K246" s="2" t="str">
        <f t="shared" si="49"/>
        <v>脚</v>
      </c>
      <c r="L246" s="2" t="str">
        <f t="shared" si="53"/>
        <v>3630331</v>
      </c>
      <c r="M246" s="2" t="str">
        <f>""</f>
        <v/>
      </c>
    </row>
    <row r="247" spans="1:13" x14ac:dyDescent="0.15">
      <c r="A247" s="2" t="str">
        <f t="shared" si="47"/>
        <v>1881110500</v>
      </c>
      <c r="B247" s="2" t="str">
        <f t="shared" si="48"/>
        <v>佐伯・区政調整</v>
      </c>
      <c r="C247" s="2" t="str">
        <f t="shared" si="44"/>
        <v>01ｲ00311</v>
      </c>
      <c r="D247" s="2" t="str">
        <f t="shared" si="45"/>
        <v>肘掛椅子</v>
      </c>
      <c r="E247" s="3" t="str">
        <f t="shared" si="50"/>
        <v>肘付</v>
      </c>
      <c r="F247" s="2" t="str">
        <f t="shared" si="51"/>
        <v>０００１</v>
      </c>
      <c r="G247" s="2" t="str">
        <f>"3620003339"</f>
        <v>3620003339</v>
      </c>
      <c r="H247" s="2" t="str">
        <f t="shared" si="46"/>
        <v>001</v>
      </c>
      <c r="I247" s="2" t="str">
        <f t="shared" si="52"/>
        <v>4100401</v>
      </c>
      <c r="J247" s="2">
        <f>31400</f>
        <v>31400</v>
      </c>
      <c r="K247" s="2" t="str">
        <f t="shared" si="49"/>
        <v>脚</v>
      </c>
      <c r="L247" s="2" t="str">
        <f t="shared" si="53"/>
        <v>3630331</v>
      </c>
      <c r="M247" s="2" t="str">
        <f>""</f>
        <v/>
      </c>
    </row>
    <row r="248" spans="1:13" x14ac:dyDescent="0.15">
      <c r="A248" s="2" t="str">
        <f t="shared" si="47"/>
        <v>1881110500</v>
      </c>
      <c r="B248" s="2" t="str">
        <f t="shared" si="48"/>
        <v>佐伯・区政調整</v>
      </c>
      <c r="C248" s="2" t="str">
        <f t="shared" si="44"/>
        <v>01ｲ00311</v>
      </c>
      <c r="D248" s="2" t="str">
        <f t="shared" si="45"/>
        <v>肘掛椅子</v>
      </c>
      <c r="E248" s="3" t="str">
        <f t="shared" si="50"/>
        <v>肘付</v>
      </c>
      <c r="F248" s="2" t="str">
        <f t="shared" si="51"/>
        <v>０００１</v>
      </c>
      <c r="G248" s="2" t="str">
        <f>"3620003340"</f>
        <v>3620003340</v>
      </c>
      <c r="H248" s="2" t="str">
        <f t="shared" si="46"/>
        <v>001</v>
      </c>
      <c r="I248" s="2" t="str">
        <f t="shared" si="52"/>
        <v>4100401</v>
      </c>
      <c r="J248" s="2">
        <f>31400</f>
        <v>31400</v>
      </c>
      <c r="K248" s="2" t="str">
        <f t="shared" si="49"/>
        <v>脚</v>
      </c>
      <c r="L248" s="2" t="str">
        <f t="shared" si="53"/>
        <v>3630331</v>
      </c>
      <c r="M248" s="2" t="str">
        <f>""</f>
        <v/>
      </c>
    </row>
    <row r="249" spans="1:13" x14ac:dyDescent="0.15">
      <c r="A249" s="2" t="str">
        <f t="shared" si="47"/>
        <v>1881110500</v>
      </c>
      <c r="B249" s="2" t="str">
        <f t="shared" si="48"/>
        <v>佐伯・区政調整</v>
      </c>
      <c r="C249" s="2" t="str">
        <f t="shared" si="44"/>
        <v>01ｲ00311</v>
      </c>
      <c r="D249" s="2" t="str">
        <f t="shared" si="45"/>
        <v>肘掛椅子</v>
      </c>
      <c r="E249" s="3" t="str">
        <f t="shared" si="50"/>
        <v>肘付</v>
      </c>
      <c r="F249" s="2" t="str">
        <f t="shared" si="51"/>
        <v>０００１</v>
      </c>
      <c r="G249" s="2" t="str">
        <f>"3620003341"</f>
        <v>3620003341</v>
      </c>
      <c r="H249" s="2" t="str">
        <f t="shared" si="46"/>
        <v>001</v>
      </c>
      <c r="I249" s="2" t="str">
        <f t="shared" si="52"/>
        <v>4100401</v>
      </c>
      <c r="J249" s="2">
        <f>31400</f>
        <v>31400</v>
      </c>
      <c r="K249" s="2" t="str">
        <f t="shared" si="49"/>
        <v>脚</v>
      </c>
      <c r="L249" s="2" t="str">
        <f t="shared" si="53"/>
        <v>3630331</v>
      </c>
      <c r="M249" s="2" t="str">
        <f>""</f>
        <v/>
      </c>
    </row>
    <row r="250" spans="1:13" x14ac:dyDescent="0.15">
      <c r="A250" s="2" t="str">
        <f t="shared" si="47"/>
        <v>1881110500</v>
      </c>
      <c r="B250" s="2" t="str">
        <f t="shared" si="48"/>
        <v>佐伯・区政調整</v>
      </c>
      <c r="C250" s="2" t="str">
        <f t="shared" si="44"/>
        <v>01ｲ00311</v>
      </c>
      <c r="D250" s="2" t="str">
        <f t="shared" si="45"/>
        <v>肘掛椅子</v>
      </c>
      <c r="E250" s="3" t="str">
        <f t="shared" si="50"/>
        <v>肘付</v>
      </c>
      <c r="F250" s="2" t="str">
        <f t="shared" si="51"/>
        <v>０００１</v>
      </c>
      <c r="G250" s="2" t="str">
        <f>"3620003342"</f>
        <v>3620003342</v>
      </c>
      <c r="H250" s="2" t="str">
        <f t="shared" si="46"/>
        <v>001</v>
      </c>
      <c r="I250" s="2" t="str">
        <f t="shared" si="52"/>
        <v>4100401</v>
      </c>
      <c r="J250" s="2">
        <f>31400</f>
        <v>31400</v>
      </c>
      <c r="K250" s="2" t="str">
        <f t="shared" si="49"/>
        <v>脚</v>
      </c>
      <c r="L250" s="2" t="str">
        <f t="shared" si="53"/>
        <v>3630331</v>
      </c>
      <c r="M250" s="2" t="str">
        <f>""</f>
        <v/>
      </c>
    </row>
    <row r="251" spans="1:13" x14ac:dyDescent="0.15">
      <c r="A251" s="2" t="str">
        <f t="shared" si="47"/>
        <v>1881110500</v>
      </c>
      <c r="B251" s="2" t="str">
        <f t="shared" si="48"/>
        <v>佐伯・区政調整</v>
      </c>
      <c r="C251" s="2" t="str">
        <f t="shared" si="44"/>
        <v>01ｲ00311</v>
      </c>
      <c r="D251" s="2" t="str">
        <f t="shared" si="45"/>
        <v>肘掛椅子</v>
      </c>
      <c r="E251" s="3" t="str">
        <f t="shared" si="50"/>
        <v>肘付</v>
      </c>
      <c r="F251" s="2" t="str">
        <f t="shared" si="51"/>
        <v>０００１</v>
      </c>
      <c r="G251" s="2" t="str">
        <f>"3620003343"</f>
        <v>3620003343</v>
      </c>
      <c r="H251" s="2" t="str">
        <f t="shared" si="46"/>
        <v>001</v>
      </c>
      <c r="I251" s="2" t="str">
        <f t="shared" si="52"/>
        <v>4100401</v>
      </c>
      <c r="J251" s="2">
        <f>31400</f>
        <v>31400</v>
      </c>
      <c r="K251" s="2" t="str">
        <f t="shared" si="49"/>
        <v>脚</v>
      </c>
      <c r="L251" s="2" t="str">
        <f t="shared" si="53"/>
        <v>3630331</v>
      </c>
      <c r="M251" s="2" t="str">
        <f>""</f>
        <v/>
      </c>
    </row>
    <row r="252" spans="1:13" x14ac:dyDescent="0.15">
      <c r="A252" s="2" t="str">
        <f t="shared" si="47"/>
        <v>1881110500</v>
      </c>
      <c r="B252" s="2" t="str">
        <f t="shared" si="48"/>
        <v>佐伯・区政調整</v>
      </c>
      <c r="C252" s="2" t="str">
        <f t="shared" si="44"/>
        <v>01ｲ00311</v>
      </c>
      <c r="D252" s="2" t="str">
        <f t="shared" si="45"/>
        <v>肘掛椅子</v>
      </c>
      <c r="E252" s="3" t="str">
        <f t="shared" si="50"/>
        <v>肘付</v>
      </c>
      <c r="F252" s="2" t="str">
        <f t="shared" si="51"/>
        <v>０００１</v>
      </c>
      <c r="G252" s="2" t="str">
        <f>"3620003344"</f>
        <v>3620003344</v>
      </c>
      <c r="H252" s="2" t="str">
        <f t="shared" si="46"/>
        <v>001</v>
      </c>
      <c r="I252" s="2" t="str">
        <f t="shared" si="52"/>
        <v>4100401</v>
      </c>
      <c r="J252" s="2">
        <f>31400</f>
        <v>31400</v>
      </c>
      <c r="K252" s="2" t="str">
        <f t="shared" si="49"/>
        <v>脚</v>
      </c>
      <c r="L252" s="2" t="str">
        <f t="shared" si="53"/>
        <v>3630331</v>
      </c>
      <c r="M252" s="2" t="str">
        <f>""</f>
        <v/>
      </c>
    </row>
    <row r="253" spans="1:13" x14ac:dyDescent="0.15">
      <c r="A253" s="2" t="str">
        <f t="shared" si="47"/>
        <v>1881110500</v>
      </c>
      <c r="B253" s="2" t="str">
        <f t="shared" si="48"/>
        <v>佐伯・区政調整</v>
      </c>
      <c r="C253" s="2" t="str">
        <f t="shared" si="44"/>
        <v>01ｲ00311</v>
      </c>
      <c r="D253" s="2" t="str">
        <f t="shared" si="45"/>
        <v>肘掛椅子</v>
      </c>
      <c r="E253" s="3" t="str">
        <f t="shared" si="50"/>
        <v>肘付</v>
      </c>
      <c r="F253" s="2" t="str">
        <f t="shared" si="51"/>
        <v>０００１</v>
      </c>
      <c r="G253" s="2" t="str">
        <f>"3620003345"</f>
        <v>3620003345</v>
      </c>
      <c r="H253" s="2" t="str">
        <f t="shared" si="46"/>
        <v>001</v>
      </c>
      <c r="I253" s="2" t="str">
        <f t="shared" si="52"/>
        <v>4100401</v>
      </c>
      <c r="J253" s="2">
        <f>31400</f>
        <v>31400</v>
      </c>
      <c r="K253" s="2" t="str">
        <f t="shared" si="49"/>
        <v>脚</v>
      </c>
      <c r="L253" s="2" t="str">
        <f t="shared" si="53"/>
        <v>3630331</v>
      </c>
      <c r="M253" s="2" t="str">
        <f>""</f>
        <v/>
      </c>
    </row>
    <row r="254" spans="1:13" x14ac:dyDescent="0.15">
      <c r="A254" s="2" t="str">
        <f t="shared" si="47"/>
        <v>1881110500</v>
      </c>
      <c r="B254" s="2" t="str">
        <f t="shared" si="48"/>
        <v>佐伯・区政調整</v>
      </c>
      <c r="C254" s="2" t="str">
        <f t="shared" si="44"/>
        <v>01ｲ00311</v>
      </c>
      <c r="D254" s="2" t="str">
        <f t="shared" si="45"/>
        <v>肘掛椅子</v>
      </c>
      <c r="E254" s="3" t="str">
        <f t="shared" si="50"/>
        <v>肘付</v>
      </c>
      <c r="F254" s="2" t="str">
        <f t="shared" si="51"/>
        <v>０００１</v>
      </c>
      <c r="G254" s="2" t="str">
        <f>"3620003346"</f>
        <v>3620003346</v>
      </c>
      <c r="H254" s="2" t="str">
        <f t="shared" si="46"/>
        <v>001</v>
      </c>
      <c r="I254" s="2" t="str">
        <f t="shared" si="52"/>
        <v>4100401</v>
      </c>
      <c r="J254" s="2">
        <f>31400</f>
        <v>31400</v>
      </c>
      <c r="K254" s="2" t="str">
        <f t="shared" si="49"/>
        <v>脚</v>
      </c>
      <c r="L254" s="2" t="str">
        <f t="shared" si="53"/>
        <v>3630331</v>
      </c>
      <c r="M254" s="2" t="str">
        <f>""</f>
        <v/>
      </c>
    </row>
    <row r="255" spans="1:13" x14ac:dyDescent="0.15">
      <c r="A255" s="2" t="str">
        <f t="shared" si="47"/>
        <v>1881110500</v>
      </c>
      <c r="B255" s="2" t="str">
        <f t="shared" si="48"/>
        <v>佐伯・区政調整</v>
      </c>
      <c r="C255" s="2" t="str">
        <f t="shared" si="44"/>
        <v>01ｲ00311</v>
      </c>
      <c r="D255" s="2" t="str">
        <f t="shared" si="45"/>
        <v>肘掛椅子</v>
      </c>
      <c r="E255" s="3" t="str">
        <f t="shared" si="50"/>
        <v>肘付</v>
      </c>
      <c r="F255" s="2" t="str">
        <f t="shared" si="51"/>
        <v>０００１</v>
      </c>
      <c r="G255" s="2" t="str">
        <f>"3620003347"</f>
        <v>3620003347</v>
      </c>
      <c r="H255" s="2" t="str">
        <f t="shared" si="46"/>
        <v>001</v>
      </c>
      <c r="I255" s="2" t="str">
        <f t="shared" si="52"/>
        <v>4100401</v>
      </c>
      <c r="J255" s="2">
        <f>31400</f>
        <v>31400</v>
      </c>
      <c r="K255" s="2" t="str">
        <f t="shared" si="49"/>
        <v>脚</v>
      </c>
      <c r="L255" s="2" t="str">
        <f t="shared" si="53"/>
        <v>3630331</v>
      </c>
      <c r="M255" s="2" t="str">
        <f>""</f>
        <v/>
      </c>
    </row>
    <row r="256" spans="1:13" x14ac:dyDescent="0.15">
      <c r="A256" s="2" t="str">
        <f t="shared" si="47"/>
        <v>1881110500</v>
      </c>
      <c r="B256" s="2" t="str">
        <f t="shared" si="48"/>
        <v>佐伯・区政調整</v>
      </c>
      <c r="C256" s="2" t="str">
        <f t="shared" si="44"/>
        <v>01ｲ00311</v>
      </c>
      <c r="D256" s="2" t="str">
        <f t="shared" si="45"/>
        <v>肘掛椅子</v>
      </c>
      <c r="E256" s="3" t="str">
        <f t="shared" si="50"/>
        <v>肘付</v>
      </c>
      <c r="F256" s="2" t="str">
        <f t="shared" si="51"/>
        <v>０００１</v>
      </c>
      <c r="G256" s="2" t="str">
        <f>"3620003348"</f>
        <v>3620003348</v>
      </c>
      <c r="H256" s="2" t="str">
        <f t="shared" si="46"/>
        <v>001</v>
      </c>
      <c r="I256" s="2" t="str">
        <f t="shared" si="52"/>
        <v>4100401</v>
      </c>
      <c r="J256" s="2">
        <f>31400</f>
        <v>31400</v>
      </c>
      <c r="K256" s="2" t="str">
        <f t="shared" si="49"/>
        <v>脚</v>
      </c>
      <c r="L256" s="2" t="str">
        <f t="shared" si="53"/>
        <v>3630331</v>
      </c>
      <c r="M256" s="2" t="str">
        <f>""</f>
        <v/>
      </c>
    </row>
    <row r="257" spans="1:13" x14ac:dyDescent="0.15">
      <c r="A257" s="2" t="str">
        <f t="shared" si="47"/>
        <v>1881110500</v>
      </c>
      <c r="B257" s="2" t="str">
        <f t="shared" si="48"/>
        <v>佐伯・区政調整</v>
      </c>
      <c r="C257" s="2" t="str">
        <f t="shared" si="44"/>
        <v>01ｲ00311</v>
      </c>
      <c r="D257" s="2" t="str">
        <f t="shared" si="45"/>
        <v>肘掛椅子</v>
      </c>
      <c r="E257" s="3" t="str">
        <f t="shared" si="50"/>
        <v>肘付</v>
      </c>
      <c r="F257" s="2" t="str">
        <f t="shared" si="51"/>
        <v>０００１</v>
      </c>
      <c r="G257" s="2" t="str">
        <f>"3620003349"</f>
        <v>3620003349</v>
      </c>
      <c r="H257" s="2" t="str">
        <f t="shared" si="46"/>
        <v>001</v>
      </c>
      <c r="I257" s="2" t="str">
        <f t="shared" si="52"/>
        <v>4100401</v>
      </c>
      <c r="J257" s="2">
        <f>31400</f>
        <v>31400</v>
      </c>
      <c r="K257" s="2" t="str">
        <f t="shared" si="49"/>
        <v>脚</v>
      </c>
      <c r="L257" s="2" t="str">
        <f t="shared" si="53"/>
        <v>3630331</v>
      </c>
      <c r="M257" s="2" t="str">
        <f>""</f>
        <v/>
      </c>
    </row>
    <row r="258" spans="1:13" x14ac:dyDescent="0.15">
      <c r="A258" s="2" t="str">
        <f t="shared" si="47"/>
        <v>1881110500</v>
      </c>
      <c r="B258" s="2" t="str">
        <f t="shared" si="48"/>
        <v>佐伯・区政調整</v>
      </c>
      <c r="C258" s="2" t="str">
        <f t="shared" si="44"/>
        <v>01ｲ00311</v>
      </c>
      <c r="D258" s="2" t="str">
        <f t="shared" si="45"/>
        <v>肘掛椅子</v>
      </c>
      <c r="E258" s="3" t="str">
        <f t="shared" si="50"/>
        <v>肘付</v>
      </c>
      <c r="F258" s="2" t="str">
        <f t="shared" si="51"/>
        <v>０００１</v>
      </c>
      <c r="G258" s="2" t="str">
        <f>"3620003350"</f>
        <v>3620003350</v>
      </c>
      <c r="H258" s="2" t="str">
        <f t="shared" si="46"/>
        <v>001</v>
      </c>
      <c r="I258" s="2" t="str">
        <f t="shared" si="52"/>
        <v>4100401</v>
      </c>
      <c r="J258" s="2">
        <f>31400</f>
        <v>31400</v>
      </c>
      <c r="K258" s="2" t="str">
        <f t="shared" si="49"/>
        <v>脚</v>
      </c>
      <c r="L258" s="2" t="str">
        <f t="shared" si="53"/>
        <v>3630331</v>
      </c>
      <c r="M258" s="2" t="str">
        <f>""</f>
        <v/>
      </c>
    </row>
    <row r="259" spans="1:13" x14ac:dyDescent="0.15">
      <c r="A259" s="2" t="str">
        <f t="shared" si="47"/>
        <v>1881110500</v>
      </c>
      <c r="B259" s="2" t="str">
        <f t="shared" si="48"/>
        <v>佐伯・区政調整</v>
      </c>
      <c r="C259" s="2" t="str">
        <f t="shared" si="44"/>
        <v>01ｲ00311</v>
      </c>
      <c r="D259" s="2" t="str">
        <f t="shared" si="45"/>
        <v>肘掛椅子</v>
      </c>
      <c r="E259" s="3" t="str">
        <f t="shared" si="50"/>
        <v>肘付</v>
      </c>
      <c r="F259" s="2" t="str">
        <f t="shared" si="51"/>
        <v>０００１</v>
      </c>
      <c r="G259" s="2" t="str">
        <f>"3620003351"</f>
        <v>3620003351</v>
      </c>
      <c r="H259" s="2" t="str">
        <f t="shared" si="46"/>
        <v>001</v>
      </c>
      <c r="I259" s="2" t="str">
        <f t="shared" si="52"/>
        <v>4100401</v>
      </c>
      <c r="J259" s="2">
        <f>31400</f>
        <v>31400</v>
      </c>
      <c r="K259" s="2" t="str">
        <f t="shared" si="49"/>
        <v>脚</v>
      </c>
      <c r="L259" s="2" t="str">
        <f t="shared" si="53"/>
        <v>3630331</v>
      </c>
      <c r="M259" s="2" t="str">
        <f>""</f>
        <v/>
      </c>
    </row>
    <row r="260" spans="1:13" x14ac:dyDescent="0.15">
      <c r="A260" s="2" t="str">
        <f t="shared" si="47"/>
        <v>1881110500</v>
      </c>
      <c r="B260" s="2" t="str">
        <f t="shared" si="48"/>
        <v>佐伯・区政調整</v>
      </c>
      <c r="C260" s="2" t="str">
        <f t="shared" si="44"/>
        <v>01ｲ00311</v>
      </c>
      <c r="D260" s="2" t="str">
        <f t="shared" si="45"/>
        <v>肘掛椅子</v>
      </c>
      <c r="E260" s="3" t="str">
        <f t="shared" si="50"/>
        <v>肘付</v>
      </c>
      <c r="F260" s="2" t="str">
        <f t="shared" si="51"/>
        <v>０００１</v>
      </c>
      <c r="G260" s="2" t="str">
        <f>"3620003352"</f>
        <v>3620003352</v>
      </c>
      <c r="H260" s="2" t="str">
        <f t="shared" si="46"/>
        <v>001</v>
      </c>
      <c r="I260" s="2" t="str">
        <f t="shared" si="52"/>
        <v>4100401</v>
      </c>
      <c r="J260" s="2">
        <f>31400</f>
        <v>31400</v>
      </c>
      <c r="K260" s="2" t="str">
        <f t="shared" si="49"/>
        <v>脚</v>
      </c>
      <c r="L260" s="2" t="str">
        <f t="shared" si="53"/>
        <v>3630331</v>
      </c>
      <c r="M260" s="2" t="str">
        <f>""</f>
        <v/>
      </c>
    </row>
    <row r="261" spans="1:13" x14ac:dyDescent="0.15">
      <c r="A261" s="2" t="str">
        <f t="shared" si="47"/>
        <v>1881110500</v>
      </c>
      <c r="B261" s="2" t="str">
        <f t="shared" si="48"/>
        <v>佐伯・区政調整</v>
      </c>
      <c r="C261" s="2" t="str">
        <f t="shared" si="44"/>
        <v>01ｲ00311</v>
      </c>
      <c r="D261" s="2" t="str">
        <f t="shared" si="45"/>
        <v>肘掛椅子</v>
      </c>
      <c r="E261" s="3" t="str">
        <f t="shared" si="50"/>
        <v>肘付</v>
      </c>
      <c r="F261" s="2" t="str">
        <f t="shared" si="51"/>
        <v>０００１</v>
      </c>
      <c r="G261" s="2" t="str">
        <f>"3620003353"</f>
        <v>3620003353</v>
      </c>
      <c r="H261" s="2" t="str">
        <f t="shared" si="46"/>
        <v>001</v>
      </c>
      <c r="I261" s="2" t="str">
        <f t="shared" si="52"/>
        <v>4100401</v>
      </c>
      <c r="J261" s="2">
        <f>31400</f>
        <v>31400</v>
      </c>
      <c r="K261" s="2" t="str">
        <f t="shared" si="49"/>
        <v>脚</v>
      </c>
      <c r="L261" s="2" t="str">
        <f t="shared" si="53"/>
        <v>3630331</v>
      </c>
      <c r="M261" s="2" t="str">
        <f>""</f>
        <v/>
      </c>
    </row>
    <row r="262" spans="1:13" x14ac:dyDescent="0.15">
      <c r="A262" s="2" t="str">
        <f t="shared" si="47"/>
        <v>1881110500</v>
      </c>
      <c r="B262" s="2" t="str">
        <f t="shared" si="48"/>
        <v>佐伯・区政調整</v>
      </c>
      <c r="C262" s="2" t="str">
        <f t="shared" si="44"/>
        <v>01ｲ00311</v>
      </c>
      <c r="D262" s="2" t="str">
        <f t="shared" si="45"/>
        <v>肘掛椅子</v>
      </c>
      <c r="E262" s="3" t="str">
        <f t="shared" si="50"/>
        <v>肘付</v>
      </c>
      <c r="F262" s="2" t="str">
        <f t="shared" si="51"/>
        <v>０００１</v>
      </c>
      <c r="G262" s="2" t="str">
        <f>"3620003354"</f>
        <v>3620003354</v>
      </c>
      <c r="H262" s="2" t="str">
        <f t="shared" si="46"/>
        <v>001</v>
      </c>
      <c r="I262" s="2" t="str">
        <f t="shared" si="52"/>
        <v>4100401</v>
      </c>
      <c r="J262" s="2">
        <f>31400</f>
        <v>31400</v>
      </c>
      <c r="K262" s="2" t="str">
        <f t="shared" si="49"/>
        <v>脚</v>
      </c>
      <c r="L262" s="2" t="str">
        <f t="shared" si="53"/>
        <v>3630331</v>
      </c>
      <c r="M262" s="2" t="str">
        <f>""</f>
        <v/>
      </c>
    </row>
    <row r="263" spans="1:13" x14ac:dyDescent="0.15">
      <c r="A263" s="2" t="str">
        <f t="shared" si="47"/>
        <v>1881110500</v>
      </c>
      <c r="B263" s="2" t="str">
        <f t="shared" si="48"/>
        <v>佐伯・区政調整</v>
      </c>
      <c r="C263" s="2" t="str">
        <f t="shared" si="44"/>
        <v>01ｲ00311</v>
      </c>
      <c r="D263" s="2" t="str">
        <f t="shared" si="45"/>
        <v>肘掛椅子</v>
      </c>
      <c r="E263" s="3" t="str">
        <f t="shared" si="50"/>
        <v>肘付</v>
      </c>
      <c r="F263" s="2" t="str">
        <f t="shared" si="51"/>
        <v>０００１</v>
      </c>
      <c r="G263" s="2" t="str">
        <f>"3620003355"</f>
        <v>3620003355</v>
      </c>
      <c r="H263" s="2" t="str">
        <f t="shared" si="46"/>
        <v>001</v>
      </c>
      <c r="I263" s="2" t="str">
        <f t="shared" si="52"/>
        <v>4100401</v>
      </c>
      <c r="J263" s="2">
        <f>31400</f>
        <v>31400</v>
      </c>
      <c r="K263" s="2" t="str">
        <f t="shared" si="49"/>
        <v>脚</v>
      </c>
      <c r="L263" s="2" t="str">
        <f t="shared" si="53"/>
        <v>3630331</v>
      </c>
      <c r="M263" s="2" t="str">
        <f>""</f>
        <v/>
      </c>
    </row>
    <row r="264" spans="1:13" x14ac:dyDescent="0.15">
      <c r="A264" s="2" t="str">
        <f t="shared" si="47"/>
        <v>1881110500</v>
      </c>
      <c r="B264" s="2" t="str">
        <f t="shared" si="48"/>
        <v>佐伯・区政調整</v>
      </c>
      <c r="C264" s="2" t="str">
        <f t="shared" si="44"/>
        <v>01ｲ00311</v>
      </c>
      <c r="D264" s="2" t="str">
        <f t="shared" si="45"/>
        <v>肘掛椅子</v>
      </c>
      <c r="E264" s="3" t="str">
        <f t="shared" si="50"/>
        <v>肘付</v>
      </c>
      <c r="F264" s="2" t="str">
        <f t="shared" si="51"/>
        <v>０００１</v>
      </c>
      <c r="G264" s="2" t="str">
        <f>"3620003356"</f>
        <v>3620003356</v>
      </c>
      <c r="H264" s="2" t="str">
        <f t="shared" si="46"/>
        <v>001</v>
      </c>
      <c r="I264" s="2" t="str">
        <f t="shared" si="52"/>
        <v>4100401</v>
      </c>
      <c r="J264" s="2">
        <f>31400</f>
        <v>31400</v>
      </c>
      <c r="K264" s="2" t="str">
        <f t="shared" si="49"/>
        <v>脚</v>
      </c>
      <c r="L264" s="2" t="str">
        <f t="shared" si="53"/>
        <v>3630331</v>
      </c>
      <c r="M264" s="2" t="str">
        <f>""</f>
        <v/>
      </c>
    </row>
    <row r="265" spans="1:13" x14ac:dyDescent="0.15">
      <c r="A265" s="2" t="str">
        <f t="shared" si="47"/>
        <v>1881110500</v>
      </c>
      <c r="B265" s="2" t="str">
        <f t="shared" si="48"/>
        <v>佐伯・区政調整</v>
      </c>
      <c r="C265" s="2" t="str">
        <f t="shared" si="44"/>
        <v>01ｲ00311</v>
      </c>
      <c r="D265" s="2" t="str">
        <f t="shared" si="45"/>
        <v>肘掛椅子</v>
      </c>
      <c r="E265" s="3" t="str">
        <f t="shared" si="50"/>
        <v>肘付</v>
      </c>
      <c r="F265" s="2" t="str">
        <f t="shared" si="51"/>
        <v>０００１</v>
      </c>
      <c r="G265" s="2" t="str">
        <f>"3620003357"</f>
        <v>3620003357</v>
      </c>
      <c r="H265" s="2" t="str">
        <f t="shared" si="46"/>
        <v>001</v>
      </c>
      <c r="I265" s="2" t="str">
        <f t="shared" si="52"/>
        <v>4100401</v>
      </c>
      <c r="J265" s="2">
        <f>31400</f>
        <v>31400</v>
      </c>
      <c r="K265" s="2" t="str">
        <f t="shared" si="49"/>
        <v>脚</v>
      </c>
      <c r="L265" s="2" t="str">
        <f t="shared" si="53"/>
        <v>3630331</v>
      </c>
      <c r="M265" s="2" t="str">
        <f>""</f>
        <v/>
      </c>
    </row>
    <row r="266" spans="1:13" x14ac:dyDescent="0.15">
      <c r="A266" s="2" t="str">
        <f t="shared" si="47"/>
        <v>1881110500</v>
      </c>
      <c r="B266" s="2" t="str">
        <f t="shared" si="48"/>
        <v>佐伯・区政調整</v>
      </c>
      <c r="C266" s="2" t="str">
        <f t="shared" ref="C266:C329" si="54">"01ｲ00311"</f>
        <v>01ｲ00311</v>
      </c>
      <c r="D266" s="2" t="str">
        <f t="shared" ref="D266:D329" si="55">"肘掛椅子"</f>
        <v>肘掛椅子</v>
      </c>
      <c r="E266" s="3" t="str">
        <f t="shared" si="50"/>
        <v>肘付</v>
      </c>
      <c r="F266" s="2" t="str">
        <f t="shared" si="51"/>
        <v>０００１</v>
      </c>
      <c r="G266" s="2" t="str">
        <f>"3620003358"</f>
        <v>3620003358</v>
      </c>
      <c r="H266" s="2" t="str">
        <f t="shared" ref="H266:H329" si="56">"001"</f>
        <v>001</v>
      </c>
      <c r="I266" s="2" t="str">
        <f t="shared" si="52"/>
        <v>4100401</v>
      </c>
      <c r="J266" s="2">
        <f>31400</f>
        <v>31400</v>
      </c>
      <c r="K266" s="2" t="str">
        <f t="shared" si="49"/>
        <v>脚</v>
      </c>
      <c r="L266" s="2" t="str">
        <f t="shared" si="53"/>
        <v>3630331</v>
      </c>
      <c r="M266" s="2" t="str">
        <f>""</f>
        <v/>
      </c>
    </row>
    <row r="267" spans="1:13" x14ac:dyDescent="0.15">
      <c r="A267" s="2" t="str">
        <f t="shared" si="47"/>
        <v>1881110500</v>
      </c>
      <c r="B267" s="2" t="str">
        <f t="shared" si="48"/>
        <v>佐伯・区政調整</v>
      </c>
      <c r="C267" s="2" t="str">
        <f t="shared" si="54"/>
        <v>01ｲ00311</v>
      </c>
      <c r="D267" s="2" t="str">
        <f t="shared" si="55"/>
        <v>肘掛椅子</v>
      </c>
      <c r="E267" s="3" t="str">
        <f t="shared" si="50"/>
        <v>肘付</v>
      </c>
      <c r="F267" s="2" t="str">
        <f t="shared" si="51"/>
        <v>０００１</v>
      </c>
      <c r="G267" s="2" t="str">
        <f>"3620003359"</f>
        <v>3620003359</v>
      </c>
      <c r="H267" s="2" t="str">
        <f t="shared" si="56"/>
        <v>001</v>
      </c>
      <c r="I267" s="2" t="str">
        <f t="shared" si="52"/>
        <v>4100401</v>
      </c>
      <c r="J267" s="2">
        <f>31400</f>
        <v>31400</v>
      </c>
      <c r="K267" s="2" t="str">
        <f t="shared" si="49"/>
        <v>脚</v>
      </c>
      <c r="L267" s="2" t="str">
        <f t="shared" si="53"/>
        <v>3630331</v>
      </c>
      <c r="M267" s="2" t="str">
        <f>""</f>
        <v/>
      </c>
    </row>
    <row r="268" spans="1:13" x14ac:dyDescent="0.15">
      <c r="A268" s="2" t="str">
        <f t="shared" si="47"/>
        <v>1881110500</v>
      </c>
      <c r="B268" s="2" t="str">
        <f t="shared" si="48"/>
        <v>佐伯・区政調整</v>
      </c>
      <c r="C268" s="2" t="str">
        <f t="shared" si="54"/>
        <v>01ｲ00311</v>
      </c>
      <c r="D268" s="2" t="str">
        <f t="shared" si="55"/>
        <v>肘掛椅子</v>
      </c>
      <c r="E268" s="3" t="str">
        <f t="shared" si="50"/>
        <v>肘付</v>
      </c>
      <c r="F268" s="2" t="str">
        <f t="shared" si="51"/>
        <v>０００１</v>
      </c>
      <c r="G268" s="2" t="str">
        <f>"3620003360"</f>
        <v>3620003360</v>
      </c>
      <c r="H268" s="2" t="str">
        <f t="shared" si="56"/>
        <v>001</v>
      </c>
      <c r="I268" s="2" t="str">
        <f t="shared" si="52"/>
        <v>4100401</v>
      </c>
      <c r="J268" s="2">
        <f>31400</f>
        <v>31400</v>
      </c>
      <c r="K268" s="2" t="str">
        <f t="shared" si="49"/>
        <v>脚</v>
      </c>
      <c r="L268" s="2" t="str">
        <f t="shared" si="53"/>
        <v>3630331</v>
      </c>
      <c r="M268" s="2" t="str">
        <f>""</f>
        <v/>
      </c>
    </row>
    <row r="269" spans="1:13" x14ac:dyDescent="0.15">
      <c r="A269" s="2" t="str">
        <f t="shared" si="47"/>
        <v>1881110500</v>
      </c>
      <c r="B269" s="2" t="str">
        <f t="shared" si="48"/>
        <v>佐伯・区政調整</v>
      </c>
      <c r="C269" s="2" t="str">
        <f t="shared" si="54"/>
        <v>01ｲ00311</v>
      </c>
      <c r="D269" s="2" t="str">
        <f t="shared" si="55"/>
        <v>肘掛椅子</v>
      </c>
      <c r="E269" s="3" t="str">
        <f t="shared" si="50"/>
        <v>肘付</v>
      </c>
      <c r="F269" s="2" t="str">
        <f t="shared" si="51"/>
        <v>０００１</v>
      </c>
      <c r="G269" s="2" t="str">
        <f>"3620003361"</f>
        <v>3620003361</v>
      </c>
      <c r="H269" s="2" t="str">
        <f t="shared" si="56"/>
        <v>001</v>
      </c>
      <c r="I269" s="2" t="str">
        <f t="shared" si="52"/>
        <v>4100401</v>
      </c>
      <c r="J269" s="2">
        <f>31400</f>
        <v>31400</v>
      </c>
      <c r="K269" s="2" t="str">
        <f t="shared" si="49"/>
        <v>脚</v>
      </c>
      <c r="L269" s="2" t="str">
        <f t="shared" si="53"/>
        <v>3630331</v>
      </c>
      <c r="M269" s="2" t="str">
        <f>""</f>
        <v/>
      </c>
    </row>
    <row r="270" spans="1:13" x14ac:dyDescent="0.15">
      <c r="A270" s="2" t="str">
        <f t="shared" si="47"/>
        <v>1881110500</v>
      </c>
      <c r="B270" s="2" t="str">
        <f t="shared" si="48"/>
        <v>佐伯・区政調整</v>
      </c>
      <c r="C270" s="2" t="str">
        <f t="shared" si="54"/>
        <v>01ｲ00311</v>
      </c>
      <c r="D270" s="2" t="str">
        <f t="shared" si="55"/>
        <v>肘掛椅子</v>
      </c>
      <c r="E270" s="3" t="str">
        <f t="shared" si="50"/>
        <v>肘付</v>
      </c>
      <c r="F270" s="2" t="str">
        <f t="shared" si="51"/>
        <v>０００１</v>
      </c>
      <c r="G270" s="2" t="str">
        <f>"3620003362"</f>
        <v>3620003362</v>
      </c>
      <c r="H270" s="2" t="str">
        <f t="shared" si="56"/>
        <v>001</v>
      </c>
      <c r="I270" s="2" t="str">
        <f t="shared" si="52"/>
        <v>4100401</v>
      </c>
      <c r="J270" s="2">
        <f>31400</f>
        <v>31400</v>
      </c>
      <c r="K270" s="2" t="str">
        <f t="shared" si="49"/>
        <v>脚</v>
      </c>
      <c r="L270" s="2" t="str">
        <f t="shared" si="53"/>
        <v>3630331</v>
      </c>
      <c r="M270" s="2" t="str">
        <f>""</f>
        <v/>
      </c>
    </row>
    <row r="271" spans="1:13" x14ac:dyDescent="0.15">
      <c r="A271" s="2" t="str">
        <f t="shared" si="47"/>
        <v>1881110500</v>
      </c>
      <c r="B271" s="2" t="str">
        <f t="shared" si="48"/>
        <v>佐伯・区政調整</v>
      </c>
      <c r="C271" s="2" t="str">
        <f t="shared" si="54"/>
        <v>01ｲ00311</v>
      </c>
      <c r="D271" s="2" t="str">
        <f t="shared" si="55"/>
        <v>肘掛椅子</v>
      </c>
      <c r="E271" s="3" t="str">
        <f t="shared" si="50"/>
        <v>肘付</v>
      </c>
      <c r="F271" s="2" t="str">
        <f t="shared" si="51"/>
        <v>０００１</v>
      </c>
      <c r="G271" s="2" t="str">
        <f>"3620003363"</f>
        <v>3620003363</v>
      </c>
      <c r="H271" s="2" t="str">
        <f t="shared" si="56"/>
        <v>001</v>
      </c>
      <c r="I271" s="2" t="str">
        <f t="shared" si="52"/>
        <v>4100401</v>
      </c>
      <c r="J271" s="2">
        <f>31400</f>
        <v>31400</v>
      </c>
      <c r="K271" s="2" t="str">
        <f t="shared" si="49"/>
        <v>脚</v>
      </c>
      <c r="L271" s="2" t="str">
        <f t="shared" si="53"/>
        <v>3630331</v>
      </c>
      <c r="M271" s="2" t="str">
        <f>""</f>
        <v/>
      </c>
    </row>
    <row r="272" spans="1:13" x14ac:dyDescent="0.15">
      <c r="A272" s="2" t="str">
        <f t="shared" si="47"/>
        <v>1881110500</v>
      </c>
      <c r="B272" s="2" t="str">
        <f t="shared" si="48"/>
        <v>佐伯・区政調整</v>
      </c>
      <c r="C272" s="2" t="str">
        <f t="shared" si="54"/>
        <v>01ｲ00311</v>
      </c>
      <c r="D272" s="2" t="str">
        <f t="shared" si="55"/>
        <v>肘掛椅子</v>
      </c>
      <c r="E272" s="3" t="str">
        <f t="shared" si="50"/>
        <v>肘付</v>
      </c>
      <c r="F272" s="2" t="str">
        <f t="shared" si="51"/>
        <v>０００１</v>
      </c>
      <c r="G272" s="2" t="str">
        <f>"3620003364"</f>
        <v>3620003364</v>
      </c>
      <c r="H272" s="2" t="str">
        <f t="shared" si="56"/>
        <v>001</v>
      </c>
      <c r="I272" s="2" t="str">
        <f t="shared" si="52"/>
        <v>4100401</v>
      </c>
      <c r="J272" s="2">
        <f>31400</f>
        <v>31400</v>
      </c>
      <c r="K272" s="2" t="str">
        <f t="shared" si="49"/>
        <v>脚</v>
      </c>
      <c r="L272" s="2" t="str">
        <f t="shared" si="53"/>
        <v>3630331</v>
      </c>
      <c r="M272" s="2" t="str">
        <f>""</f>
        <v/>
      </c>
    </row>
    <row r="273" spans="1:13" x14ac:dyDescent="0.15">
      <c r="A273" s="2" t="str">
        <f t="shared" si="47"/>
        <v>1881110500</v>
      </c>
      <c r="B273" s="2" t="str">
        <f t="shared" si="48"/>
        <v>佐伯・区政調整</v>
      </c>
      <c r="C273" s="2" t="str">
        <f t="shared" si="54"/>
        <v>01ｲ00311</v>
      </c>
      <c r="D273" s="2" t="str">
        <f t="shared" si="55"/>
        <v>肘掛椅子</v>
      </c>
      <c r="E273" s="3" t="str">
        <f t="shared" si="50"/>
        <v>肘付</v>
      </c>
      <c r="F273" s="2" t="str">
        <f t="shared" si="51"/>
        <v>０００１</v>
      </c>
      <c r="G273" s="2" t="str">
        <f>"3620003365"</f>
        <v>3620003365</v>
      </c>
      <c r="H273" s="2" t="str">
        <f t="shared" si="56"/>
        <v>001</v>
      </c>
      <c r="I273" s="2" t="str">
        <f t="shared" si="52"/>
        <v>4100401</v>
      </c>
      <c r="J273" s="2">
        <f>31400</f>
        <v>31400</v>
      </c>
      <c r="K273" s="2" t="str">
        <f t="shared" si="49"/>
        <v>脚</v>
      </c>
      <c r="L273" s="2" t="str">
        <f t="shared" si="53"/>
        <v>3630331</v>
      </c>
      <c r="M273" s="2" t="str">
        <f>""</f>
        <v/>
      </c>
    </row>
    <row r="274" spans="1:13" x14ac:dyDescent="0.15">
      <c r="A274" s="2" t="str">
        <f t="shared" si="47"/>
        <v>1881110500</v>
      </c>
      <c r="B274" s="2" t="str">
        <f t="shared" si="48"/>
        <v>佐伯・区政調整</v>
      </c>
      <c r="C274" s="2" t="str">
        <f t="shared" si="54"/>
        <v>01ｲ00311</v>
      </c>
      <c r="D274" s="2" t="str">
        <f t="shared" si="55"/>
        <v>肘掛椅子</v>
      </c>
      <c r="E274" s="3" t="str">
        <f t="shared" si="50"/>
        <v>肘付</v>
      </c>
      <c r="F274" s="2" t="str">
        <f t="shared" si="51"/>
        <v>０００１</v>
      </c>
      <c r="G274" s="2" t="str">
        <f>"3620003366"</f>
        <v>3620003366</v>
      </c>
      <c r="H274" s="2" t="str">
        <f t="shared" si="56"/>
        <v>001</v>
      </c>
      <c r="I274" s="2" t="str">
        <f t="shared" si="52"/>
        <v>4100401</v>
      </c>
      <c r="J274" s="2">
        <f>31400</f>
        <v>31400</v>
      </c>
      <c r="K274" s="2" t="str">
        <f t="shared" si="49"/>
        <v>脚</v>
      </c>
      <c r="L274" s="2" t="str">
        <f t="shared" si="53"/>
        <v>3630331</v>
      </c>
      <c r="M274" s="2" t="str">
        <f>""</f>
        <v/>
      </c>
    </row>
    <row r="275" spans="1:13" x14ac:dyDescent="0.15">
      <c r="A275" s="2" t="str">
        <f t="shared" si="47"/>
        <v>1881110500</v>
      </c>
      <c r="B275" s="2" t="str">
        <f t="shared" si="48"/>
        <v>佐伯・区政調整</v>
      </c>
      <c r="C275" s="2" t="str">
        <f t="shared" si="54"/>
        <v>01ｲ00311</v>
      </c>
      <c r="D275" s="2" t="str">
        <f t="shared" si="55"/>
        <v>肘掛椅子</v>
      </c>
      <c r="E275" s="3" t="str">
        <f t="shared" si="50"/>
        <v>肘付</v>
      </c>
      <c r="F275" s="2" t="str">
        <f t="shared" si="51"/>
        <v>０００１</v>
      </c>
      <c r="G275" s="2" t="str">
        <f>"3620003367"</f>
        <v>3620003367</v>
      </c>
      <c r="H275" s="2" t="str">
        <f t="shared" si="56"/>
        <v>001</v>
      </c>
      <c r="I275" s="2" t="str">
        <f t="shared" si="52"/>
        <v>4100401</v>
      </c>
      <c r="J275" s="2">
        <f>31400</f>
        <v>31400</v>
      </c>
      <c r="K275" s="2" t="str">
        <f t="shared" si="49"/>
        <v>脚</v>
      </c>
      <c r="L275" s="2" t="str">
        <f t="shared" si="53"/>
        <v>3630331</v>
      </c>
      <c r="M275" s="2" t="str">
        <f>""</f>
        <v/>
      </c>
    </row>
    <row r="276" spans="1:13" x14ac:dyDescent="0.15">
      <c r="A276" s="2" t="str">
        <f t="shared" si="47"/>
        <v>1881110500</v>
      </c>
      <c r="B276" s="2" t="str">
        <f t="shared" si="48"/>
        <v>佐伯・区政調整</v>
      </c>
      <c r="C276" s="2" t="str">
        <f t="shared" si="54"/>
        <v>01ｲ00311</v>
      </c>
      <c r="D276" s="2" t="str">
        <f t="shared" si="55"/>
        <v>肘掛椅子</v>
      </c>
      <c r="E276" s="3" t="str">
        <f t="shared" si="50"/>
        <v>肘付</v>
      </c>
      <c r="F276" s="2" t="str">
        <f t="shared" si="51"/>
        <v>０００１</v>
      </c>
      <c r="G276" s="2" t="str">
        <f>"3620003368"</f>
        <v>3620003368</v>
      </c>
      <c r="H276" s="2" t="str">
        <f t="shared" si="56"/>
        <v>001</v>
      </c>
      <c r="I276" s="2" t="str">
        <f t="shared" si="52"/>
        <v>4100401</v>
      </c>
      <c r="J276" s="2">
        <f>31400</f>
        <v>31400</v>
      </c>
      <c r="K276" s="2" t="str">
        <f t="shared" si="49"/>
        <v>脚</v>
      </c>
      <c r="L276" s="2" t="str">
        <f t="shared" si="53"/>
        <v>3630331</v>
      </c>
      <c r="M276" s="2" t="str">
        <f>""</f>
        <v/>
      </c>
    </row>
    <row r="277" spans="1:13" x14ac:dyDescent="0.15">
      <c r="A277" s="2" t="str">
        <f t="shared" si="47"/>
        <v>1881110500</v>
      </c>
      <c r="B277" s="2" t="str">
        <f t="shared" si="48"/>
        <v>佐伯・区政調整</v>
      </c>
      <c r="C277" s="2" t="str">
        <f t="shared" si="54"/>
        <v>01ｲ00311</v>
      </c>
      <c r="D277" s="2" t="str">
        <f t="shared" si="55"/>
        <v>肘掛椅子</v>
      </c>
      <c r="E277" s="3" t="str">
        <f t="shared" si="50"/>
        <v>肘付</v>
      </c>
      <c r="F277" s="2" t="str">
        <f t="shared" si="51"/>
        <v>０００１</v>
      </c>
      <c r="G277" s="2" t="str">
        <f>"3620003369"</f>
        <v>3620003369</v>
      </c>
      <c r="H277" s="2" t="str">
        <f t="shared" si="56"/>
        <v>001</v>
      </c>
      <c r="I277" s="2" t="str">
        <f t="shared" si="52"/>
        <v>4100401</v>
      </c>
      <c r="J277" s="2">
        <f>31400</f>
        <v>31400</v>
      </c>
      <c r="K277" s="2" t="str">
        <f t="shared" si="49"/>
        <v>脚</v>
      </c>
      <c r="L277" s="2" t="str">
        <f t="shared" si="53"/>
        <v>3630331</v>
      </c>
      <c r="M277" s="2" t="str">
        <f>""</f>
        <v/>
      </c>
    </row>
    <row r="278" spans="1:13" x14ac:dyDescent="0.15">
      <c r="A278" s="2" t="str">
        <f t="shared" si="47"/>
        <v>1881110500</v>
      </c>
      <c r="B278" s="2" t="str">
        <f t="shared" si="48"/>
        <v>佐伯・区政調整</v>
      </c>
      <c r="C278" s="2" t="str">
        <f t="shared" si="54"/>
        <v>01ｲ00311</v>
      </c>
      <c r="D278" s="2" t="str">
        <f t="shared" si="55"/>
        <v>肘掛椅子</v>
      </c>
      <c r="E278" s="3" t="str">
        <f t="shared" si="50"/>
        <v>肘付</v>
      </c>
      <c r="F278" s="2" t="str">
        <f t="shared" si="51"/>
        <v>０００１</v>
      </c>
      <c r="G278" s="2" t="str">
        <f>"3620003370"</f>
        <v>3620003370</v>
      </c>
      <c r="H278" s="2" t="str">
        <f t="shared" si="56"/>
        <v>001</v>
      </c>
      <c r="I278" s="2" t="str">
        <f t="shared" si="52"/>
        <v>4100401</v>
      </c>
      <c r="J278" s="2">
        <f>31400</f>
        <v>31400</v>
      </c>
      <c r="K278" s="2" t="str">
        <f t="shared" si="49"/>
        <v>脚</v>
      </c>
      <c r="L278" s="2" t="str">
        <f t="shared" si="53"/>
        <v>3630331</v>
      </c>
      <c r="M278" s="2" t="str">
        <f>""</f>
        <v/>
      </c>
    </row>
    <row r="279" spans="1:13" x14ac:dyDescent="0.15">
      <c r="A279" s="2" t="str">
        <f t="shared" si="47"/>
        <v>1881110500</v>
      </c>
      <c r="B279" s="2" t="str">
        <f t="shared" si="48"/>
        <v>佐伯・区政調整</v>
      </c>
      <c r="C279" s="2" t="str">
        <f t="shared" si="54"/>
        <v>01ｲ00311</v>
      </c>
      <c r="D279" s="2" t="str">
        <f t="shared" si="55"/>
        <v>肘掛椅子</v>
      </c>
      <c r="E279" s="3" t="str">
        <f t="shared" si="50"/>
        <v>肘付</v>
      </c>
      <c r="F279" s="2" t="str">
        <f t="shared" si="51"/>
        <v>０００１</v>
      </c>
      <c r="G279" s="2" t="str">
        <f>"3620003371"</f>
        <v>3620003371</v>
      </c>
      <c r="H279" s="2" t="str">
        <f t="shared" si="56"/>
        <v>001</v>
      </c>
      <c r="I279" s="2" t="str">
        <f t="shared" si="52"/>
        <v>4100401</v>
      </c>
      <c r="J279" s="2">
        <f>31400</f>
        <v>31400</v>
      </c>
      <c r="K279" s="2" t="str">
        <f t="shared" si="49"/>
        <v>脚</v>
      </c>
      <c r="L279" s="2" t="str">
        <f t="shared" si="53"/>
        <v>3630331</v>
      </c>
      <c r="M279" s="2" t="str">
        <f>""</f>
        <v/>
      </c>
    </row>
    <row r="280" spans="1:13" x14ac:dyDescent="0.15">
      <c r="A280" s="2" t="str">
        <f t="shared" si="47"/>
        <v>1881110500</v>
      </c>
      <c r="B280" s="2" t="str">
        <f t="shared" si="48"/>
        <v>佐伯・区政調整</v>
      </c>
      <c r="C280" s="2" t="str">
        <f t="shared" si="54"/>
        <v>01ｲ00311</v>
      </c>
      <c r="D280" s="2" t="str">
        <f t="shared" si="55"/>
        <v>肘掛椅子</v>
      </c>
      <c r="E280" s="3" t="str">
        <f t="shared" si="50"/>
        <v>肘付</v>
      </c>
      <c r="F280" s="2" t="str">
        <f t="shared" si="51"/>
        <v>０００１</v>
      </c>
      <c r="G280" s="2" t="str">
        <f>"3620003372"</f>
        <v>3620003372</v>
      </c>
      <c r="H280" s="2" t="str">
        <f t="shared" si="56"/>
        <v>001</v>
      </c>
      <c r="I280" s="2" t="str">
        <f t="shared" si="52"/>
        <v>4100401</v>
      </c>
      <c r="J280" s="2">
        <f>31400</f>
        <v>31400</v>
      </c>
      <c r="K280" s="2" t="str">
        <f t="shared" si="49"/>
        <v>脚</v>
      </c>
      <c r="L280" s="2" t="str">
        <f t="shared" si="53"/>
        <v>3630331</v>
      </c>
      <c r="M280" s="2" t="str">
        <f>""</f>
        <v/>
      </c>
    </row>
    <row r="281" spans="1:13" x14ac:dyDescent="0.15">
      <c r="A281" s="2" t="str">
        <f t="shared" si="47"/>
        <v>1881110500</v>
      </c>
      <c r="B281" s="2" t="str">
        <f t="shared" si="48"/>
        <v>佐伯・区政調整</v>
      </c>
      <c r="C281" s="2" t="str">
        <f t="shared" si="54"/>
        <v>01ｲ00311</v>
      </c>
      <c r="D281" s="2" t="str">
        <f t="shared" si="55"/>
        <v>肘掛椅子</v>
      </c>
      <c r="E281" s="3" t="str">
        <f t="shared" si="50"/>
        <v>肘付</v>
      </c>
      <c r="F281" s="2" t="str">
        <f t="shared" si="51"/>
        <v>０００１</v>
      </c>
      <c r="G281" s="2" t="str">
        <f>"3620003373"</f>
        <v>3620003373</v>
      </c>
      <c r="H281" s="2" t="str">
        <f t="shared" si="56"/>
        <v>001</v>
      </c>
      <c r="I281" s="2" t="str">
        <f t="shared" si="52"/>
        <v>4100401</v>
      </c>
      <c r="J281" s="2">
        <f>31400</f>
        <v>31400</v>
      </c>
      <c r="K281" s="2" t="str">
        <f t="shared" si="49"/>
        <v>脚</v>
      </c>
      <c r="L281" s="2" t="str">
        <f t="shared" si="53"/>
        <v>3630331</v>
      </c>
      <c r="M281" s="2" t="str">
        <f>""</f>
        <v/>
      </c>
    </row>
    <row r="282" spans="1:13" x14ac:dyDescent="0.15">
      <c r="A282" s="2" t="str">
        <f t="shared" ref="A282:A345" si="57">"1881110500"</f>
        <v>1881110500</v>
      </c>
      <c r="B282" s="2" t="str">
        <f t="shared" ref="B282:B345" si="58">"佐伯・区政調整"</f>
        <v>佐伯・区政調整</v>
      </c>
      <c r="C282" s="2" t="str">
        <f t="shared" si="54"/>
        <v>01ｲ00311</v>
      </c>
      <c r="D282" s="2" t="str">
        <f t="shared" si="55"/>
        <v>肘掛椅子</v>
      </c>
      <c r="E282" s="3" t="str">
        <f t="shared" si="50"/>
        <v>肘付</v>
      </c>
      <c r="F282" s="2" t="str">
        <f t="shared" si="51"/>
        <v>０００１</v>
      </c>
      <c r="G282" s="2" t="str">
        <f>"3620003374"</f>
        <v>3620003374</v>
      </c>
      <c r="H282" s="2" t="str">
        <f t="shared" si="56"/>
        <v>001</v>
      </c>
      <c r="I282" s="2" t="str">
        <f t="shared" si="52"/>
        <v>4100401</v>
      </c>
      <c r="J282" s="2">
        <f>31400</f>
        <v>31400</v>
      </c>
      <c r="K282" s="2" t="str">
        <f t="shared" ref="K282:K345" si="59">"脚"</f>
        <v>脚</v>
      </c>
      <c r="L282" s="2" t="str">
        <f t="shared" si="53"/>
        <v>3630331</v>
      </c>
      <c r="M282" s="2" t="str">
        <f>""</f>
        <v/>
      </c>
    </row>
    <row r="283" spans="1:13" x14ac:dyDescent="0.15">
      <c r="A283" s="2" t="str">
        <f t="shared" si="57"/>
        <v>1881110500</v>
      </c>
      <c r="B283" s="2" t="str">
        <f t="shared" si="58"/>
        <v>佐伯・区政調整</v>
      </c>
      <c r="C283" s="2" t="str">
        <f t="shared" si="54"/>
        <v>01ｲ00311</v>
      </c>
      <c r="D283" s="2" t="str">
        <f t="shared" si="55"/>
        <v>肘掛椅子</v>
      </c>
      <c r="E283" s="3" t="str">
        <f t="shared" si="50"/>
        <v>肘付</v>
      </c>
      <c r="F283" s="2" t="str">
        <f t="shared" si="51"/>
        <v>０００１</v>
      </c>
      <c r="G283" s="2" t="str">
        <f>"3620003375"</f>
        <v>3620003375</v>
      </c>
      <c r="H283" s="2" t="str">
        <f t="shared" si="56"/>
        <v>001</v>
      </c>
      <c r="I283" s="2" t="str">
        <f t="shared" si="52"/>
        <v>4100401</v>
      </c>
      <c r="J283" s="2">
        <f>31400</f>
        <v>31400</v>
      </c>
      <c r="K283" s="2" t="str">
        <f t="shared" si="59"/>
        <v>脚</v>
      </c>
      <c r="L283" s="2" t="str">
        <f t="shared" si="53"/>
        <v>3630331</v>
      </c>
      <c r="M283" s="2" t="str">
        <f>""</f>
        <v/>
      </c>
    </row>
    <row r="284" spans="1:13" x14ac:dyDescent="0.15">
      <c r="A284" s="2" t="str">
        <f t="shared" si="57"/>
        <v>1881110500</v>
      </c>
      <c r="B284" s="2" t="str">
        <f t="shared" si="58"/>
        <v>佐伯・区政調整</v>
      </c>
      <c r="C284" s="2" t="str">
        <f t="shared" si="54"/>
        <v>01ｲ00311</v>
      </c>
      <c r="D284" s="2" t="str">
        <f t="shared" si="55"/>
        <v>肘掛椅子</v>
      </c>
      <c r="E284" s="3" t="str">
        <f t="shared" si="50"/>
        <v>肘付</v>
      </c>
      <c r="F284" s="2" t="str">
        <f t="shared" si="51"/>
        <v>０００１</v>
      </c>
      <c r="G284" s="2" t="str">
        <f>"3620003376"</f>
        <v>3620003376</v>
      </c>
      <c r="H284" s="2" t="str">
        <f t="shared" si="56"/>
        <v>001</v>
      </c>
      <c r="I284" s="2" t="str">
        <f t="shared" si="52"/>
        <v>4100401</v>
      </c>
      <c r="J284" s="2">
        <f>31400</f>
        <v>31400</v>
      </c>
      <c r="K284" s="2" t="str">
        <f t="shared" si="59"/>
        <v>脚</v>
      </c>
      <c r="L284" s="2" t="str">
        <f t="shared" si="53"/>
        <v>3630331</v>
      </c>
      <c r="M284" s="2" t="str">
        <f>""</f>
        <v/>
      </c>
    </row>
    <row r="285" spans="1:13" x14ac:dyDescent="0.15">
      <c r="A285" s="2" t="str">
        <f t="shared" si="57"/>
        <v>1881110500</v>
      </c>
      <c r="B285" s="2" t="str">
        <f t="shared" si="58"/>
        <v>佐伯・区政調整</v>
      </c>
      <c r="C285" s="2" t="str">
        <f t="shared" si="54"/>
        <v>01ｲ00311</v>
      </c>
      <c r="D285" s="2" t="str">
        <f t="shared" si="55"/>
        <v>肘掛椅子</v>
      </c>
      <c r="E285" s="3" t="str">
        <f t="shared" si="50"/>
        <v>肘付</v>
      </c>
      <c r="F285" s="2" t="str">
        <f t="shared" si="51"/>
        <v>０００１</v>
      </c>
      <c r="G285" s="2" t="str">
        <f>"3620003377"</f>
        <v>3620003377</v>
      </c>
      <c r="H285" s="2" t="str">
        <f t="shared" si="56"/>
        <v>001</v>
      </c>
      <c r="I285" s="2" t="str">
        <f t="shared" si="52"/>
        <v>4100401</v>
      </c>
      <c r="J285" s="2">
        <f>31400</f>
        <v>31400</v>
      </c>
      <c r="K285" s="2" t="str">
        <f t="shared" si="59"/>
        <v>脚</v>
      </c>
      <c r="L285" s="2" t="str">
        <f t="shared" si="53"/>
        <v>3630331</v>
      </c>
      <c r="M285" s="2" t="str">
        <f>""</f>
        <v/>
      </c>
    </row>
    <row r="286" spans="1:13" x14ac:dyDescent="0.15">
      <c r="A286" s="2" t="str">
        <f t="shared" si="57"/>
        <v>1881110500</v>
      </c>
      <c r="B286" s="2" t="str">
        <f t="shared" si="58"/>
        <v>佐伯・区政調整</v>
      </c>
      <c r="C286" s="2" t="str">
        <f t="shared" si="54"/>
        <v>01ｲ00311</v>
      </c>
      <c r="D286" s="2" t="str">
        <f t="shared" si="55"/>
        <v>肘掛椅子</v>
      </c>
      <c r="E286" s="3" t="str">
        <f t="shared" si="50"/>
        <v>肘付</v>
      </c>
      <c r="F286" s="2" t="str">
        <f t="shared" si="51"/>
        <v>０００１</v>
      </c>
      <c r="G286" s="2" t="str">
        <f>"3620003378"</f>
        <v>3620003378</v>
      </c>
      <c r="H286" s="2" t="str">
        <f t="shared" si="56"/>
        <v>001</v>
      </c>
      <c r="I286" s="2" t="str">
        <f t="shared" si="52"/>
        <v>4100401</v>
      </c>
      <c r="J286" s="2">
        <f>31400</f>
        <v>31400</v>
      </c>
      <c r="K286" s="2" t="str">
        <f t="shared" si="59"/>
        <v>脚</v>
      </c>
      <c r="L286" s="2" t="str">
        <f t="shared" si="53"/>
        <v>3630331</v>
      </c>
      <c r="M286" s="2" t="str">
        <f>""</f>
        <v/>
      </c>
    </row>
    <row r="287" spans="1:13" x14ac:dyDescent="0.15">
      <c r="A287" s="2" t="str">
        <f t="shared" si="57"/>
        <v>1881110500</v>
      </c>
      <c r="B287" s="2" t="str">
        <f t="shared" si="58"/>
        <v>佐伯・区政調整</v>
      </c>
      <c r="C287" s="2" t="str">
        <f t="shared" si="54"/>
        <v>01ｲ00311</v>
      </c>
      <c r="D287" s="2" t="str">
        <f t="shared" si="55"/>
        <v>肘掛椅子</v>
      </c>
      <c r="E287" s="3" t="str">
        <f t="shared" si="50"/>
        <v>肘付</v>
      </c>
      <c r="F287" s="2" t="str">
        <f t="shared" si="51"/>
        <v>０００１</v>
      </c>
      <c r="G287" s="2" t="str">
        <f>"3620003379"</f>
        <v>3620003379</v>
      </c>
      <c r="H287" s="2" t="str">
        <f t="shared" si="56"/>
        <v>001</v>
      </c>
      <c r="I287" s="2" t="str">
        <f t="shared" si="52"/>
        <v>4100401</v>
      </c>
      <c r="J287" s="2">
        <f>31400</f>
        <v>31400</v>
      </c>
      <c r="K287" s="2" t="str">
        <f t="shared" si="59"/>
        <v>脚</v>
      </c>
      <c r="L287" s="2" t="str">
        <f t="shared" si="53"/>
        <v>3630331</v>
      </c>
      <c r="M287" s="2" t="str">
        <f>""</f>
        <v/>
      </c>
    </row>
    <row r="288" spans="1:13" x14ac:dyDescent="0.15">
      <c r="A288" s="2" t="str">
        <f t="shared" si="57"/>
        <v>1881110500</v>
      </c>
      <c r="B288" s="2" t="str">
        <f t="shared" si="58"/>
        <v>佐伯・区政調整</v>
      </c>
      <c r="C288" s="2" t="str">
        <f t="shared" si="54"/>
        <v>01ｲ00311</v>
      </c>
      <c r="D288" s="2" t="str">
        <f t="shared" si="55"/>
        <v>肘掛椅子</v>
      </c>
      <c r="E288" s="3" t="str">
        <f t="shared" si="50"/>
        <v>肘付</v>
      </c>
      <c r="F288" s="2" t="str">
        <f t="shared" si="51"/>
        <v>０００１</v>
      </c>
      <c r="G288" s="2" t="str">
        <f>"3620003380"</f>
        <v>3620003380</v>
      </c>
      <c r="H288" s="2" t="str">
        <f t="shared" si="56"/>
        <v>001</v>
      </c>
      <c r="I288" s="2" t="str">
        <f t="shared" si="52"/>
        <v>4100401</v>
      </c>
      <c r="J288" s="2">
        <f>31400</f>
        <v>31400</v>
      </c>
      <c r="K288" s="2" t="str">
        <f t="shared" si="59"/>
        <v>脚</v>
      </c>
      <c r="L288" s="2" t="str">
        <f t="shared" si="53"/>
        <v>3630331</v>
      </c>
      <c r="M288" s="2" t="str">
        <f>""</f>
        <v/>
      </c>
    </row>
    <row r="289" spans="1:13" x14ac:dyDescent="0.15">
      <c r="A289" s="2" t="str">
        <f t="shared" si="57"/>
        <v>1881110500</v>
      </c>
      <c r="B289" s="2" t="str">
        <f t="shared" si="58"/>
        <v>佐伯・区政調整</v>
      </c>
      <c r="C289" s="2" t="str">
        <f t="shared" si="54"/>
        <v>01ｲ00311</v>
      </c>
      <c r="D289" s="2" t="str">
        <f t="shared" si="55"/>
        <v>肘掛椅子</v>
      </c>
      <c r="E289" s="3" t="str">
        <f t="shared" si="50"/>
        <v>肘付</v>
      </c>
      <c r="F289" s="2" t="str">
        <f t="shared" si="51"/>
        <v>０００１</v>
      </c>
      <c r="G289" s="2" t="str">
        <f>"3620003381"</f>
        <v>3620003381</v>
      </c>
      <c r="H289" s="2" t="str">
        <f t="shared" si="56"/>
        <v>001</v>
      </c>
      <c r="I289" s="2" t="str">
        <f t="shared" si="52"/>
        <v>4100401</v>
      </c>
      <c r="J289" s="2">
        <f>31400</f>
        <v>31400</v>
      </c>
      <c r="K289" s="2" t="str">
        <f t="shared" si="59"/>
        <v>脚</v>
      </c>
      <c r="L289" s="2" t="str">
        <f t="shared" si="53"/>
        <v>3630331</v>
      </c>
      <c r="M289" s="2" t="str">
        <f>""</f>
        <v/>
      </c>
    </row>
    <row r="290" spans="1:13" x14ac:dyDescent="0.15">
      <c r="A290" s="2" t="str">
        <f t="shared" si="57"/>
        <v>1881110500</v>
      </c>
      <c r="B290" s="2" t="str">
        <f t="shared" si="58"/>
        <v>佐伯・区政調整</v>
      </c>
      <c r="C290" s="2" t="str">
        <f t="shared" si="54"/>
        <v>01ｲ00311</v>
      </c>
      <c r="D290" s="2" t="str">
        <f t="shared" si="55"/>
        <v>肘掛椅子</v>
      </c>
      <c r="E290" s="3" t="str">
        <f t="shared" ref="E290:E353" si="60">"肘付"</f>
        <v>肘付</v>
      </c>
      <c r="F290" s="2" t="str">
        <f t="shared" ref="F290:F353" si="61">"０００１"</f>
        <v>０００１</v>
      </c>
      <c r="G290" s="2" t="str">
        <f>"3620003382"</f>
        <v>3620003382</v>
      </c>
      <c r="H290" s="2" t="str">
        <f t="shared" si="56"/>
        <v>001</v>
      </c>
      <c r="I290" s="2" t="str">
        <f t="shared" ref="I290:I353" si="62">"4100401"</f>
        <v>4100401</v>
      </c>
      <c r="J290" s="2">
        <f>31400</f>
        <v>31400</v>
      </c>
      <c r="K290" s="2" t="str">
        <f t="shared" si="59"/>
        <v>脚</v>
      </c>
      <c r="L290" s="2" t="str">
        <f t="shared" ref="L290:L353" si="63">"3630331"</f>
        <v>3630331</v>
      </c>
      <c r="M290" s="2" t="str">
        <f>""</f>
        <v/>
      </c>
    </row>
    <row r="291" spans="1:13" x14ac:dyDescent="0.15">
      <c r="A291" s="2" t="str">
        <f t="shared" si="57"/>
        <v>1881110500</v>
      </c>
      <c r="B291" s="2" t="str">
        <f t="shared" si="58"/>
        <v>佐伯・区政調整</v>
      </c>
      <c r="C291" s="2" t="str">
        <f t="shared" si="54"/>
        <v>01ｲ00311</v>
      </c>
      <c r="D291" s="2" t="str">
        <f t="shared" si="55"/>
        <v>肘掛椅子</v>
      </c>
      <c r="E291" s="3" t="str">
        <f t="shared" si="60"/>
        <v>肘付</v>
      </c>
      <c r="F291" s="2" t="str">
        <f t="shared" si="61"/>
        <v>０００１</v>
      </c>
      <c r="G291" s="2" t="str">
        <f>"3620003383"</f>
        <v>3620003383</v>
      </c>
      <c r="H291" s="2" t="str">
        <f t="shared" si="56"/>
        <v>001</v>
      </c>
      <c r="I291" s="2" t="str">
        <f t="shared" si="62"/>
        <v>4100401</v>
      </c>
      <c r="J291" s="2">
        <f>31400</f>
        <v>31400</v>
      </c>
      <c r="K291" s="2" t="str">
        <f t="shared" si="59"/>
        <v>脚</v>
      </c>
      <c r="L291" s="2" t="str">
        <f t="shared" si="63"/>
        <v>3630331</v>
      </c>
      <c r="M291" s="2" t="str">
        <f>""</f>
        <v/>
      </c>
    </row>
    <row r="292" spans="1:13" x14ac:dyDescent="0.15">
      <c r="A292" s="2" t="str">
        <f t="shared" si="57"/>
        <v>1881110500</v>
      </c>
      <c r="B292" s="2" t="str">
        <f t="shared" si="58"/>
        <v>佐伯・区政調整</v>
      </c>
      <c r="C292" s="2" t="str">
        <f t="shared" si="54"/>
        <v>01ｲ00311</v>
      </c>
      <c r="D292" s="2" t="str">
        <f t="shared" si="55"/>
        <v>肘掛椅子</v>
      </c>
      <c r="E292" s="3" t="str">
        <f t="shared" si="60"/>
        <v>肘付</v>
      </c>
      <c r="F292" s="2" t="str">
        <f t="shared" si="61"/>
        <v>０００１</v>
      </c>
      <c r="G292" s="2" t="str">
        <f>"3620003384"</f>
        <v>3620003384</v>
      </c>
      <c r="H292" s="2" t="str">
        <f t="shared" si="56"/>
        <v>001</v>
      </c>
      <c r="I292" s="2" t="str">
        <f t="shared" si="62"/>
        <v>4100401</v>
      </c>
      <c r="J292" s="2">
        <f>31400</f>
        <v>31400</v>
      </c>
      <c r="K292" s="2" t="str">
        <f t="shared" si="59"/>
        <v>脚</v>
      </c>
      <c r="L292" s="2" t="str">
        <f t="shared" si="63"/>
        <v>3630331</v>
      </c>
      <c r="M292" s="2" t="str">
        <f>""</f>
        <v/>
      </c>
    </row>
    <row r="293" spans="1:13" x14ac:dyDescent="0.15">
      <c r="A293" s="2" t="str">
        <f t="shared" si="57"/>
        <v>1881110500</v>
      </c>
      <c r="B293" s="2" t="str">
        <f t="shared" si="58"/>
        <v>佐伯・区政調整</v>
      </c>
      <c r="C293" s="2" t="str">
        <f t="shared" si="54"/>
        <v>01ｲ00311</v>
      </c>
      <c r="D293" s="2" t="str">
        <f t="shared" si="55"/>
        <v>肘掛椅子</v>
      </c>
      <c r="E293" s="3" t="str">
        <f t="shared" si="60"/>
        <v>肘付</v>
      </c>
      <c r="F293" s="2" t="str">
        <f t="shared" si="61"/>
        <v>０００１</v>
      </c>
      <c r="G293" s="2" t="str">
        <f>"3620003385"</f>
        <v>3620003385</v>
      </c>
      <c r="H293" s="2" t="str">
        <f t="shared" si="56"/>
        <v>001</v>
      </c>
      <c r="I293" s="2" t="str">
        <f t="shared" si="62"/>
        <v>4100401</v>
      </c>
      <c r="J293" s="2">
        <f>31400</f>
        <v>31400</v>
      </c>
      <c r="K293" s="2" t="str">
        <f t="shared" si="59"/>
        <v>脚</v>
      </c>
      <c r="L293" s="2" t="str">
        <f t="shared" si="63"/>
        <v>3630331</v>
      </c>
      <c r="M293" s="2" t="str">
        <f>""</f>
        <v/>
      </c>
    </row>
    <row r="294" spans="1:13" x14ac:dyDescent="0.15">
      <c r="A294" s="2" t="str">
        <f t="shared" si="57"/>
        <v>1881110500</v>
      </c>
      <c r="B294" s="2" t="str">
        <f t="shared" si="58"/>
        <v>佐伯・区政調整</v>
      </c>
      <c r="C294" s="2" t="str">
        <f t="shared" si="54"/>
        <v>01ｲ00311</v>
      </c>
      <c r="D294" s="2" t="str">
        <f t="shared" si="55"/>
        <v>肘掛椅子</v>
      </c>
      <c r="E294" s="3" t="str">
        <f t="shared" si="60"/>
        <v>肘付</v>
      </c>
      <c r="F294" s="2" t="str">
        <f t="shared" si="61"/>
        <v>０００１</v>
      </c>
      <c r="G294" s="2" t="str">
        <f>"3620003386"</f>
        <v>3620003386</v>
      </c>
      <c r="H294" s="2" t="str">
        <f t="shared" si="56"/>
        <v>001</v>
      </c>
      <c r="I294" s="2" t="str">
        <f t="shared" si="62"/>
        <v>4100401</v>
      </c>
      <c r="J294" s="2">
        <f>31400</f>
        <v>31400</v>
      </c>
      <c r="K294" s="2" t="str">
        <f t="shared" si="59"/>
        <v>脚</v>
      </c>
      <c r="L294" s="2" t="str">
        <f t="shared" si="63"/>
        <v>3630331</v>
      </c>
      <c r="M294" s="2" t="str">
        <f>""</f>
        <v/>
      </c>
    </row>
    <row r="295" spans="1:13" x14ac:dyDescent="0.15">
      <c r="A295" s="2" t="str">
        <f t="shared" si="57"/>
        <v>1881110500</v>
      </c>
      <c r="B295" s="2" t="str">
        <f t="shared" si="58"/>
        <v>佐伯・区政調整</v>
      </c>
      <c r="C295" s="2" t="str">
        <f t="shared" si="54"/>
        <v>01ｲ00311</v>
      </c>
      <c r="D295" s="2" t="str">
        <f t="shared" si="55"/>
        <v>肘掛椅子</v>
      </c>
      <c r="E295" s="3" t="str">
        <f t="shared" si="60"/>
        <v>肘付</v>
      </c>
      <c r="F295" s="2" t="str">
        <f t="shared" si="61"/>
        <v>０００１</v>
      </c>
      <c r="G295" s="2" t="str">
        <f>"3620003387"</f>
        <v>3620003387</v>
      </c>
      <c r="H295" s="2" t="str">
        <f t="shared" si="56"/>
        <v>001</v>
      </c>
      <c r="I295" s="2" t="str">
        <f t="shared" si="62"/>
        <v>4100401</v>
      </c>
      <c r="J295" s="2">
        <f>31400</f>
        <v>31400</v>
      </c>
      <c r="K295" s="2" t="str">
        <f t="shared" si="59"/>
        <v>脚</v>
      </c>
      <c r="L295" s="2" t="str">
        <f t="shared" si="63"/>
        <v>3630331</v>
      </c>
      <c r="M295" s="2" t="str">
        <f>""</f>
        <v/>
      </c>
    </row>
    <row r="296" spans="1:13" x14ac:dyDescent="0.15">
      <c r="A296" s="2" t="str">
        <f t="shared" si="57"/>
        <v>1881110500</v>
      </c>
      <c r="B296" s="2" t="str">
        <f t="shared" si="58"/>
        <v>佐伯・区政調整</v>
      </c>
      <c r="C296" s="2" t="str">
        <f t="shared" si="54"/>
        <v>01ｲ00311</v>
      </c>
      <c r="D296" s="2" t="str">
        <f t="shared" si="55"/>
        <v>肘掛椅子</v>
      </c>
      <c r="E296" s="3" t="str">
        <f t="shared" si="60"/>
        <v>肘付</v>
      </c>
      <c r="F296" s="2" t="str">
        <f t="shared" si="61"/>
        <v>０００１</v>
      </c>
      <c r="G296" s="2" t="str">
        <f>"3620003388"</f>
        <v>3620003388</v>
      </c>
      <c r="H296" s="2" t="str">
        <f t="shared" si="56"/>
        <v>001</v>
      </c>
      <c r="I296" s="2" t="str">
        <f t="shared" si="62"/>
        <v>4100401</v>
      </c>
      <c r="J296" s="2">
        <f>31400</f>
        <v>31400</v>
      </c>
      <c r="K296" s="2" t="str">
        <f t="shared" si="59"/>
        <v>脚</v>
      </c>
      <c r="L296" s="2" t="str">
        <f t="shared" si="63"/>
        <v>3630331</v>
      </c>
      <c r="M296" s="2" t="str">
        <f>""</f>
        <v/>
      </c>
    </row>
    <row r="297" spans="1:13" x14ac:dyDescent="0.15">
      <c r="A297" s="2" t="str">
        <f t="shared" si="57"/>
        <v>1881110500</v>
      </c>
      <c r="B297" s="2" t="str">
        <f t="shared" si="58"/>
        <v>佐伯・区政調整</v>
      </c>
      <c r="C297" s="2" t="str">
        <f t="shared" si="54"/>
        <v>01ｲ00311</v>
      </c>
      <c r="D297" s="2" t="str">
        <f t="shared" si="55"/>
        <v>肘掛椅子</v>
      </c>
      <c r="E297" s="3" t="str">
        <f t="shared" si="60"/>
        <v>肘付</v>
      </c>
      <c r="F297" s="2" t="str">
        <f t="shared" si="61"/>
        <v>０００１</v>
      </c>
      <c r="G297" s="2" t="str">
        <f>"3620003389"</f>
        <v>3620003389</v>
      </c>
      <c r="H297" s="2" t="str">
        <f t="shared" si="56"/>
        <v>001</v>
      </c>
      <c r="I297" s="2" t="str">
        <f t="shared" si="62"/>
        <v>4100401</v>
      </c>
      <c r="J297" s="2">
        <f>31400</f>
        <v>31400</v>
      </c>
      <c r="K297" s="2" t="str">
        <f t="shared" si="59"/>
        <v>脚</v>
      </c>
      <c r="L297" s="2" t="str">
        <f t="shared" si="63"/>
        <v>3630331</v>
      </c>
      <c r="M297" s="2" t="str">
        <f>""</f>
        <v/>
      </c>
    </row>
    <row r="298" spans="1:13" x14ac:dyDescent="0.15">
      <c r="A298" s="2" t="str">
        <f t="shared" si="57"/>
        <v>1881110500</v>
      </c>
      <c r="B298" s="2" t="str">
        <f t="shared" si="58"/>
        <v>佐伯・区政調整</v>
      </c>
      <c r="C298" s="2" t="str">
        <f t="shared" si="54"/>
        <v>01ｲ00311</v>
      </c>
      <c r="D298" s="2" t="str">
        <f t="shared" si="55"/>
        <v>肘掛椅子</v>
      </c>
      <c r="E298" s="3" t="str">
        <f t="shared" si="60"/>
        <v>肘付</v>
      </c>
      <c r="F298" s="2" t="str">
        <f t="shared" si="61"/>
        <v>０００１</v>
      </c>
      <c r="G298" s="2" t="str">
        <f>"3620003390"</f>
        <v>3620003390</v>
      </c>
      <c r="H298" s="2" t="str">
        <f t="shared" si="56"/>
        <v>001</v>
      </c>
      <c r="I298" s="2" t="str">
        <f t="shared" si="62"/>
        <v>4100401</v>
      </c>
      <c r="J298" s="2">
        <f>31400</f>
        <v>31400</v>
      </c>
      <c r="K298" s="2" t="str">
        <f t="shared" si="59"/>
        <v>脚</v>
      </c>
      <c r="L298" s="2" t="str">
        <f t="shared" si="63"/>
        <v>3630331</v>
      </c>
      <c r="M298" s="2" t="str">
        <f>""</f>
        <v/>
      </c>
    </row>
    <row r="299" spans="1:13" x14ac:dyDescent="0.15">
      <c r="A299" s="2" t="str">
        <f t="shared" si="57"/>
        <v>1881110500</v>
      </c>
      <c r="B299" s="2" t="str">
        <f t="shared" si="58"/>
        <v>佐伯・区政調整</v>
      </c>
      <c r="C299" s="2" t="str">
        <f t="shared" si="54"/>
        <v>01ｲ00311</v>
      </c>
      <c r="D299" s="2" t="str">
        <f t="shared" si="55"/>
        <v>肘掛椅子</v>
      </c>
      <c r="E299" s="3" t="str">
        <f t="shared" si="60"/>
        <v>肘付</v>
      </c>
      <c r="F299" s="2" t="str">
        <f t="shared" si="61"/>
        <v>０００１</v>
      </c>
      <c r="G299" s="2" t="str">
        <f>"3620003391"</f>
        <v>3620003391</v>
      </c>
      <c r="H299" s="2" t="str">
        <f t="shared" si="56"/>
        <v>001</v>
      </c>
      <c r="I299" s="2" t="str">
        <f t="shared" si="62"/>
        <v>4100401</v>
      </c>
      <c r="J299" s="2">
        <f>31400</f>
        <v>31400</v>
      </c>
      <c r="K299" s="2" t="str">
        <f t="shared" si="59"/>
        <v>脚</v>
      </c>
      <c r="L299" s="2" t="str">
        <f t="shared" si="63"/>
        <v>3630331</v>
      </c>
      <c r="M299" s="2" t="str">
        <f>""</f>
        <v/>
      </c>
    </row>
    <row r="300" spans="1:13" x14ac:dyDescent="0.15">
      <c r="A300" s="2" t="str">
        <f t="shared" si="57"/>
        <v>1881110500</v>
      </c>
      <c r="B300" s="2" t="str">
        <f t="shared" si="58"/>
        <v>佐伯・区政調整</v>
      </c>
      <c r="C300" s="2" t="str">
        <f t="shared" si="54"/>
        <v>01ｲ00311</v>
      </c>
      <c r="D300" s="2" t="str">
        <f t="shared" si="55"/>
        <v>肘掛椅子</v>
      </c>
      <c r="E300" s="3" t="str">
        <f t="shared" si="60"/>
        <v>肘付</v>
      </c>
      <c r="F300" s="2" t="str">
        <f t="shared" si="61"/>
        <v>０００１</v>
      </c>
      <c r="G300" s="2" t="str">
        <f>"3620003392"</f>
        <v>3620003392</v>
      </c>
      <c r="H300" s="2" t="str">
        <f t="shared" si="56"/>
        <v>001</v>
      </c>
      <c r="I300" s="2" t="str">
        <f t="shared" si="62"/>
        <v>4100401</v>
      </c>
      <c r="J300" s="2">
        <f>31400</f>
        <v>31400</v>
      </c>
      <c r="K300" s="2" t="str">
        <f t="shared" si="59"/>
        <v>脚</v>
      </c>
      <c r="L300" s="2" t="str">
        <f t="shared" si="63"/>
        <v>3630331</v>
      </c>
      <c r="M300" s="2" t="str">
        <f>""</f>
        <v/>
      </c>
    </row>
    <row r="301" spans="1:13" x14ac:dyDescent="0.15">
      <c r="A301" s="2" t="str">
        <f t="shared" si="57"/>
        <v>1881110500</v>
      </c>
      <c r="B301" s="2" t="str">
        <f t="shared" si="58"/>
        <v>佐伯・区政調整</v>
      </c>
      <c r="C301" s="2" t="str">
        <f t="shared" si="54"/>
        <v>01ｲ00311</v>
      </c>
      <c r="D301" s="2" t="str">
        <f t="shared" si="55"/>
        <v>肘掛椅子</v>
      </c>
      <c r="E301" s="3" t="str">
        <f t="shared" si="60"/>
        <v>肘付</v>
      </c>
      <c r="F301" s="2" t="str">
        <f t="shared" si="61"/>
        <v>０００１</v>
      </c>
      <c r="G301" s="2" t="str">
        <f>"3620003393"</f>
        <v>3620003393</v>
      </c>
      <c r="H301" s="2" t="str">
        <f t="shared" si="56"/>
        <v>001</v>
      </c>
      <c r="I301" s="2" t="str">
        <f t="shared" si="62"/>
        <v>4100401</v>
      </c>
      <c r="J301" s="2">
        <f>31400</f>
        <v>31400</v>
      </c>
      <c r="K301" s="2" t="str">
        <f t="shared" si="59"/>
        <v>脚</v>
      </c>
      <c r="L301" s="2" t="str">
        <f t="shared" si="63"/>
        <v>3630331</v>
      </c>
      <c r="M301" s="2" t="str">
        <f>""</f>
        <v/>
      </c>
    </row>
    <row r="302" spans="1:13" x14ac:dyDescent="0.15">
      <c r="A302" s="2" t="str">
        <f t="shared" si="57"/>
        <v>1881110500</v>
      </c>
      <c r="B302" s="2" t="str">
        <f t="shared" si="58"/>
        <v>佐伯・区政調整</v>
      </c>
      <c r="C302" s="2" t="str">
        <f t="shared" si="54"/>
        <v>01ｲ00311</v>
      </c>
      <c r="D302" s="2" t="str">
        <f t="shared" si="55"/>
        <v>肘掛椅子</v>
      </c>
      <c r="E302" s="3" t="str">
        <f t="shared" si="60"/>
        <v>肘付</v>
      </c>
      <c r="F302" s="2" t="str">
        <f t="shared" si="61"/>
        <v>０００１</v>
      </c>
      <c r="G302" s="2" t="str">
        <f>"3620003394"</f>
        <v>3620003394</v>
      </c>
      <c r="H302" s="2" t="str">
        <f t="shared" si="56"/>
        <v>001</v>
      </c>
      <c r="I302" s="2" t="str">
        <f t="shared" si="62"/>
        <v>4100401</v>
      </c>
      <c r="J302" s="2">
        <f>31400</f>
        <v>31400</v>
      </c>
      <c r="K302" s="2" t="str">
        <f t="shared" si="59"/>
        <v>脚</v>
      </c>
      <c r="L302" s="2" t="str">
        <f t="shared" si="63"/>
        <v>3630331</v>
      </c>
      <c r="M302" s="2" t="str">
        <f>""</f>
        <v/>
      </c>
    </row>
    <row r="303" spans="1:13" x14ac:dyDescent="0.15">
      <c r="A303" s="2" t="str">
        <f t="shared" si="57"/>
        <v>1881110500</v>
      </c>
      <c r="B303" s="2" t="str">
        <f t="shared" si="58"/>
        <v>佐伯・区政調整</v>
      </c>
      <c r="C303" s="2" t="str">
        <f t="shared" si="54"/>
        <v>01ｲ00311</v>
      </c>
      <c r="D303" s="2" t="str">
        <f t="shared" si="55"/>
        <v>肘掛椅子</v>
      </c>
      <c r="E303" s="3" t="str">
        <f t="shared" si="60"/>
        <v>肘付</v>
      </c>
      <c r="F303" s="2" t="str">
        <f t="shared" si="61"/>
        <v>０００１</v>
      </c>
      <c r="G303" s="2" t="str">
        <f>"3620003395"</f>
        <v>3620003395</v>
      </c>
      <c r="H303" s="2" t="str">
        <f t="shared" si="56"/>
        <v>001</v>
      </c>
      <c r="I303" s="2" t="str">
        <f t="shared" si="62"/>
        <v>4100401</v>
      </c>
      <c r="J303" s="2">
        <f>31400</f>
        <v>31400</v>
      </c>
      <c r="K303" s="2" t="str">
        <f t="shared" si="59"/>
        <v>脚</v>
      </c>
      <c r="L303" s="2" t="str">
        <f t="shared" si="63"/>
        <v>3630331</v>
      </c>
      <c r="M303" s="2" t="str">
        <f>""</f>
        <v/>
      </c>
    </row>
    <row r="304" spans="1:13" x14ac:dyDescent="0.15">
      <c r="A304" s="2" t="str">
        <f t="shared" si="57"/>
        <v>1881110500</v>
      </c>
      <c r="B304" s="2" t="str">
        <f t="shared" si="58"/>
        <v>佐伯・区政調整</v>
      </c>
      <c r="C304" s="2" t="str">
        <f t="shared" si="54"/>
        <v>01ｲ00311</v>
      </c>
      <c r="D304" s="2" t="str">
        <f t="shared" si="55"/>
        <v>肘掛椅子</v>
      </c>
      <c r="E304" s="3" t="str">
        <f t="shared" si="60"/>
        <v>肘付</v>
      </c>
      <c r="F304" s="2" t="str">
        <f t="shared" si="61"/>
        <v>０００１</v>
      </c>
      <c r="G304" s="2" t="str">
        <f>"3620003396"</f>
        <v>3620003396</v>
      </c>
      <c r="H304" s="2" t="str">
        <f t="shared" si="56"/>
        <v>001</v>
      </c>
      <c r="I304" s="2" t="str">
        <f t="shared" si="62"/>
        <v>4100401</v>
      </c>
      <c r="J304" s="2">
        <f>31400</f>
        <v>31400</v>
      </c>
      <c r="K304" s="2" t="str">
        <f t="shared" si="59"/>
        <v>脚</v>
      </c>
      <c r="L304" s="2" t="str">
        <f t="shared" si="63"/>
        <v>3630331</v>
      </c>
      <c r="M304" s="2" t="str">
        <f>""</f>
        <v/>
      </c>
    </row>
    <row r="305" spans="1:13" x14ac:dyDescent="0.15">
      <c r="A305" s="2" t="str">
        <f t="shared" si="57"/>
        <v>1881110500</v>
      </c>
      <c r="B305" s="2" t="str">
        <f t="shared" si="58"/>
        <v>佐伯・区政調整</v>
      </c>
      <c r="C305" s="2" t="str">
        <f t="shared" si="54"/>
        <v>01ｲ00311</v>
      </c>
      <c r="D305" s="2" t="str">
        <f t="shared" si="55"/>
        <v>肘掛椅子</v>
      </c>
      <c r="E305" s="3" t="str">
        <f t="shared" si="60"/>
        <v>肘付</v>
      </c>
      <c r="F305" s="2" t="str">
        <f t="shared" si="61"/>
        <v>０００１</v>
      </c>
      <c r="G305" s="2" t="str">
        <f>"3620003397"</f>
        <v>3620003397</v>
      </c>
      <c r="H305" s="2" t="str">
        <f t="shared" si="56"/>
        <v>001</v>
      </c>
      <c r="I305" s="2" t="str">
        <f t="shared" si="62"/>
        <v>4100401</v>
      </c>
      <c r="J305" s="2">
        <f>31400</f>
        <v>31400</v>
      </c>
      <c r="K305" s="2" t="str">
        <f t="shared" si="59"/>
        <v>脚</v>
      </c>
      <c r="L305" s="2" t="str">
        <f t="shared" si="63"/>
        <v>3630331</v>
      </c>
      <c r="M305" s="2" t="str">
        <f>""</f>
        <v/>
      </c>
    </row>
    <row r="306" spans="1:13" x14ac:dyDescent="0.15">
      <c r="A306" s="2" t="str">
        <f t="shared" si="57"/>
        <v>1881110500</v>
      </c>
      <c r="B306" s="2" t="str">
        <f t="shared" si="58"/>
        <v>佐伯・区政調整</v>
      </c>
      <c r="C306" s="2" t="str">
        <f t="shared" si="54"/>
        <v>01ｲ00311</v>
      </c>
      <c r="D306" s="2" t="str">
        <f t="shared" si="55"/>
        <v>肘掛椅子</v>
      </c>
      <c r="E306" s="3" t="str">
        <f t="shared" si="60"/>
        <v>肘付</v>
      </c>
      <c r="F306" s="2" t="str">
        <f t="shared" si="61"/>
        <v>０００１</v>
      </c>
      <c r="G306" s="2" t="str">
        <f>"3620003398"</f>
        <v>3620003398</v>
      </c>
      <c r="H306" s="2" t="str">
        <f t="shared" si="56"/>
        <v>001</v>
      </c>
      <c r="I306" s="2" t="str">
        <f t="shared" si="62"/>
        <v>4100401</v>
      </c>
      <c r="J306" s="2">
        <f>31400</f>
        <v>31400</v>
      </c>
      <c r="K306" s="2" t="str">
        <f t="shared" si="59"/>
        <v>脚</v>
      </c>
      <c r="L306" s="2" t="str">
        <f t="shared" si="63"/>
        <v>3630331</v>
      </c>
      <c r="M306" s="2" t="str">
        <f>""</f>
        <v/>
      </c>
    </row>
    <row r="307" spans="1:13" x14ac:dyDescent="0.15">
      <c r="A307" s="2" t="str">
        <f t="shared" si="57"/>
        <v>1881110500</v>
      </c>
      <c r="B307" s="2" t="str">
        <f t="shared" si="58"/>
        <v>佐伯・区政調整</v>
      </c>
      <c r="C307" s="2" t="str">
        <f t="shared" si="54"/>
        <v>01ｲ00311</v>
      </c>
      <c r="D307" s="2" t="str">
        <f t="shared" si="55"/>
        <v>肘掛椅子</v>
      </c>
      <c r="E307" s="3" t="str">
        <f t="shared" si="60"/>
        <v>肘付</v>
      </c>
      <c r="F307" s="2" t="str">
        <f t="shared" si="61"/>
        <v>０００１</v>
      </c>
      <c r="G307" s="2" t="str">
        <f>"3620003399"</f>
        <v>3620003399</v>
      </c>
      <c r="H307" s="2" t="str">
        <f t="shared" si="56"/>
        <v>001</v>
      </c>
      <c r="I307" s="2" t="str">
        <f t="shared" si="62"/>
        <v>4100401</v>
      </c>
      <c r="J307" s="2">
        <f>31400</f>
        <v>31400</v>
      </c>
      <c r="K307" s="2" t="str">
        <f t="shared" si="59"/>
        <v>脚</v>
      </c>
      <c r="L307" s="2" t="str">
        <f t="shared" si="63"/>
        <v>3630331</v>
      </c>
      <c r="M307" s="2" t="str">
        <f>""</f>
        <v/>
      </c>
    </row>
    <row r="308" spans="1:13" x14ac:dyDescent="0.15">
      <c r="A308" s="2" t="str">
        <f t="shared" si="57"/>
        <v>1881110500</v>
      </c>
      <c r="B308" s="2" t="str">
        <f t="shared" si="58"/>
        <v>佐伯・区政調整</v>
      </c>
      <c r="C308" s="2" t="str">
        <f t="shared" si="54"/>
        <v>01ｲ00311</v>
      </c>
      <c r="D308" s="2" t="str">
        <f t="shared" si="55"/>
        <v>肘掛椅子</v>
      </c>
      <c r="E308" s="3" t="str">
        <f t="shared" si="60"/>
        <v>肘付</v>
      </c>
      <c r="F308" s="2" t="str">
        <f t="shared" si="61"/>
        <v>０００１</v>
      </c>
      <c r="G308" s="2" t="str">
        <f>"3620003400"</f>
        <v>3620003400</v>
      </c>
      <c r="H308" s="2" t="str">
        <f t="shared" si="56"/>
        <v>001</v>
      </c>
      <c r="I308" s="2" t="str">
        <f t="shared" si="62"/>
        <v>4100401</v>
      </c>
      <c r="J308" s="2">
        <f>31400</f>
        <v>31400</v>
      </c>
      <c r="K308" s="2" t="str">
        <f t="shared" si="59"/>
        <v>脚</v>
      </c>
      <c r="L308" s="2" t="str">
        <f t="shared" si="63"/>
        <v>3630331</v>
      </c>
      <c r="M308" s="2" t="str">
        <f>""</f>
        <v/>
      </c>
    </row>
    <row r="309" spans="1:13" x14ac:dyDescent="0.15">
      <c r="A309" s="2" t="str">
        <f t="shared" si="57"/>
        <v>1881110500</v>
      </c>
      <c r="B309" s="2" t="str">
        <f t="shared" si="58"/>
        <v>佐伯・区政調整</v>
      </c>
      <c r="C309" s="2" t="str">
        <f t="shared" si="54"/>
        <v>01ｲ00311</v>
      </c>
      <c r="D309" s="2" t="str">
        <f t="shared" si="55"/>
        <v>肘掛椅子</v>
      </c>
      <c r="E309" s="3" t="str">
        <f t="shared" si="60"/>
        <v>肘付</v>
      </c>
      <c r="F309" s="2" t="str">
        <f t="shared" si="61"/>
        <v>０００１</v>
      </c>
      <c r="G309" s="2" t="str">
        <f>"3620003401"</f>
        <v>3620003401</v>
      </c>
      <c r="H309" s="2" t="str">
        <f t="shared" si="56"/>
        <v>001</v>
      </c>
      <c r="I309" s="2" t="str">
        <f t="shared" si="62"/>
        <v>4100401</v>
      </c>
      <c r="J309" s="2">
        <f>31400</f>
        <v>31400</v>
      </c>
      <c r="K309" s="2" t="str">
        <f t="shared" si="59"/>
        <v>脚</v>
      </c>
      <c r="L309" s="2" t="str">
        <f t="shared" si="63"/>
        <v>3630331</v>
      </c>
      <c r="M309" s="2" t="str">
        <f>""</f>
        <v/>
      </c>
    </row>
    <row r="310" spans="1:13" x14ac:dyDescent="0.15">
      <c r="A310" s="2" t="str">
        <f t="shared" si="57"/>
        <v>1881110500</v>
      </c>
      <c r="B310" s="2" t="str">
        <f t="shared" si="58"/>
        <v>佐伯・区政調整</v>
      </c>
      <c r="C310" s="2" t="str">
        <f t="shared" si="54"/>
        <v>01ｲ00311</v>
      </c>
      <c r="D310" s="2" t="str">
        <f t="shared" si="55"/>
        <v>肘掛椅子</v>
      </c>
      <c r="E310" s="3" t="str">
        <f t="shared" si="60"/>
        <v>肘付</v>
      </c>
      <c r="F310" s="2" t="str">
        <f t="shared" si="61"/>
        <v>０００１</v>
      </c>
      <c r="G310" s="2" t="str">
        <f>"3620003402"</f>
        <v>3620003402</v>
      </c>
      <c r="H310" s="2" t="str">
        <f t="shared" si="56"/>
        <v>001</v>
      </c>
      <c r="I310" s="2" t="str">
        <f t="shared" si="62"/>
        <v>4100401</v>
      </c>
      <c r="J310" s="2">
        <f>31400</f>
        <v>31400</v>
      </c>
      <c r="K310" s="2" t="str">
        <f t="shared" si="59"/>
        <v>脚</v>
      </c>
      <c r="L310" s="2" t="str">
        <f t="shared" si="63"/>
        <v>3630331</v>
      </c>
      <c r="M310" s="2" t="str">
        <f>""</f>
        <v/>
      </c>
    </row>
    <row r="311" spans="1:13" x14ac:dyDescent="0.15">
      <c r="A311" s="2" t="str">
        <f t="shared" si="57"/>
        <v>1881110500</v>
      </c>
      <c r="B311" s="2" t="str">
        <f t="shared" si="58"/>
        <v>佐伯・区政調整</v>
      </c>
      <c r="C311" s="2" t="str">
        <f t="shared" si="54"/>
        <v>01ｲ00311</v>
      </c>
      <c r="D311" s="2" t="str">
        <f t="shared" si="55"/>
        <v>肘掛椅子</v>
      </c>
      <c r="E311" s="3" t="str">
        <f t="shared" si="60"/>
        <v>肘付</v>
      </c>
      <c r="F311" s="2" t="str">
        <f t="shared" si="61"/>
        <v>０００１</v>
      </c>
      <c r="G311" s="2" t="str">
        <f>"3620003403"</f>
        <v>3620003403</v>
      </c>
      <c r="H311" s="2" t="str">
        <f t="shared" si="56"/>
        <v>001</v>
      </c>
      <c r="I311" s="2" t="str">
        <f t="shared" si="62"/>
        <v>4100401</v>
      </c>
      <c r="J311" s="2">
        <f>31400</f>
        <v>31400</v>
      </c>
      <c r="K311" s="2" t="str">
        <f t="shared" si="59"/>
        <v>脚</v>
      </c>
      <c r="L311" s="2" t="str">
        <f t="shared" si="63"/>
        <v>3630331</v>
      </c>
      <c r="M311" s="2" t="str">
        <f>""</f>
        <v/>
      </c>
    </row>
    <row r="312" spans="1:13" x14ac:dyDescent="0.15">
      <c r="A312" s="2" t="str">
        <f t="shared" si="57"/>
        <v>1881110500</v>
      </c>
      <c r="B312" s="2" t="str">
        <f t="shared" si="58"/>
        <v>佐伯・区政調整</v>
      </c>
      <c r="C312" s="2" t="str">
        <f t="shared" si="54"/>
        <v>01ｲ00311</v>
      </c>
      <c r="D312" s="2" t="str">
        <f t="shared" si="55"/>
        <v>肘掛椅子</v>
      </c>
      <c r="E312" s="3" t="str">
        <f t="shared" si="60"/>
        <v>肘付</v>
      </c>
      <c r="F312" s="2" t="str">
        <f t="shared" si="61"/>
        <v>０００１</v>
      </c>
      <c r="G312" s="2" t="str">
        <f>"3620003404"</f>
        <v>3620003404</v>
      </c>
      <c r="H312" s="2" t="str">
        <f t="shared" si="56"/>
        <v>001</v>
      </c>
      <c r="I312" s="2" t="str">
        <f t="shared" si="62"/>
        <v>4100401</v>
      </c>
      <c r="J312" s="2">
        <f>31400</f>
        <v>31400</v>
      </c>
      <c r="K312" s="2" t="str">
        <f t="shared" si="59"/>
        <v>脚</v>
      </c>
      <c r="L312" s="2" t="str">
        <f t="shared" si="63"/>
        <v>3630331</v>
      </c>
      <c r="M312" s="2" t="str">
        <f>""</f>
        <v/>
      </c>
    </row>
    <row r="313" spans="1:13" x14ac:dyDescent="0.15">
      <c r="A313" s="2" t="str">
        <f t="shared" si="57"/>
        <v>1881110500</v>
      </c>
      <c r="B313" s="2" t="str">
        <f t="shared" si="58"/>
        <v>佐伯・区政調整</v>
      </c>
      <c r="C313" s="2" t="str">
        <f t="shared" si="54"/>
        <v>01ｲ00311</v>
      </c>
      <c r="D313" s="2" t="str">
        <f t="shared" si="55"/>
        <v>肘掛椅子</v>
      </c>
      <c r="E313" s="3" t="str">
        <f t="shared" si="60"/>
        <v>肘付</v>
      </c>
      <c r="F313" s="2" t="str">
        <f t="shared" si="61"/>
        <v>０００１</v>
      </c>
      <c r="G313" s="2" t="str">
        <f>"3620003405"</f>
        <v>3620003405</v>
      </c>
      <c r="H313" s="2" t="str">
        <f t="shared" si="56"/>
        <v>001</v>
      </c>
      <c r="I313" s="2" t="str">
        <f t="shared" si="62"/>
        <v>4100401</v>
      </c>
      <c r="J313" s="2">
        <f>31400</f>
        <v>31400</v>
      </c>
      <c r="K313" s="2" t="str">
        <f t="shared" si="59"/>
        <v>脚</v>
      </c>
      <c r="L313" s="2" t="str">
        <f t="shared" si="63"/>
        <v>3630331</v>
      </c>
      <c r="M313" s="2" t="str">
        <f>""</f>
        <v/>
      </c>
    </row>
    <row r="314" spans="1:13" x14ac:dyDescent="0.15">
      <c r="A314" s="2" t="str">
        <f t="shared" si="57"/>
        <v>1881110500</v>
      </c>
      <c r="B314" s="2" t="str">
        <f t="shared" si="58"/>
        <v>佐伯・区政調整</v>
      </c>
      <c r="C314" s="2" t="str">
        <f t="shared" si="54"/>
        <v>01ｲ00311</v>
      </c>
      <c r="D314" s="2" t="str">
        <f t="shared" si="55"/>
        <v>肘掛椅子</v>
      </c>
      <c r="E314" s="3" t="str">
        <f t="shared" si="60"/>
        <v>肘付</v>
      </c>
      <c r="F314" s="2" t="str">
        <f t="shared" si="61"/>
        <v>０００１</v>
      </c>
      <c r="G314" s="2" t="str">
        <f>"3620003406"</f>
        <v>3620003406</v>
      </c>
      <c r="H314" s="2" t="str">
        <f t="shared" si="56"/>
        <v>001</v>
      </c>
      <c r="I314" s="2" t="str">
        <f t="shared" si="62"/>
        <v>4100401</v>
      </c>
      <c r="J314" s="2">
        <f>31400</f>
        <v>31400</v>
      </c>
      <c r="K314" s="2" t="str">
        <f t="shared" si="59"/>
        <v>脚</v>
      </c>
      <c r="L314" s="2" t="str">
        <f t="shared" si="63"/>
        <v>3630331</v>
      </c>
      <c r="M314" s="2" t="str">
        <f>""</f>
        <v/>
      </c>
    </row>
    <row r="315" spans="1:13" x14ac:dyDescent="0.15">
      <c r="A315" s="2" t="str">
        <f t="shared" si="57"/>
        <v>1881110500</v>
      </c>
      <c r="B315" s="2" t="str">
        <f t="shared" si="58"/>
        <v>佐伯・区政調整</v>
      </c>
      <c r="C315" s="2" t="str">
        <f t="shared" si="54"/>
        <v>01ｲ00311</v>
      </c>
      <c r="D315" s="2" t="str">
        <f t="shared" si="55"/>
        <v>肘掛椅子</v>
      </c>
      <c r="E315" s="3" t="str">
        <f t="shared" si="60"/>
        <v>肘付</v>
      </c>
      <c r="F315" s="2" t="str">
        <f t="shared" si="61"/>
        <v>０００１</v>
      </c>
      <c r="G315" s="2" t="str">
        <f>"3620003407"</f>
        <v>3620003407</v>
      </c>
      <c r="H315" s="2" t="str">
        <f t="shared" si="56"/>
        <v>001</v>
      </c>
      <c r="I315" s="2" t="str">
        <f t="shared" si="62"/>
        <v>4100401</v>
      </c>
      <c r="J315" s="2">
        <f>31400</f>
        <v>31400</v>
      </c>
      <c r="K315" s="2" t="str">
        <f t="shared" si="59"/>
        <v>脚</v>
      </c>
      <c r="L315" s="2" t="str">
        <f t="shared" si="63"/>
        <v>3630331</v>
      </c>
      <c r="M315" s="2" t="str">
        <f>""</f>
        <v/>
      </c>
    </row>
    <row r="316" spans="1:13" x14ac:dyDescent="0.15">
      <c r="A316" s="2" t="str">
        <f t="shared" si="57"/>
        <v>1881110500</v>
      </c>
      <c r="B316" s="2" t="str">
        <f t="shared" si="58"/>
        <v>佐伯・区政調整</v>
      </c>
      <c r="C316" s="2" t="str">
        <f t="shared" si="54"/>
        <v>01ｲ00311</v>
      </c>
      <c r="D316" s="2" t="str">
        <f t="shared" si="55"/>
        <v>肘掛椅子</v>
      </c>
      <c r="E316" s="3" t="str">
        <f t="shared" si="60"/>
        <v>肘付</v>
      </c>
      <c r="F316" s="2" t="str">
        <f t="shared" si="61"/>
        <v>０００１</v>
      </c>
      <c r="G316" s="2" t="str">
        <f>"3620003408"</f>
        <v>3620003408</v>
      </c>
      <c r="H316" s="2" t="str">
        <f t="shared" si="56"/>
        <v>001</v>
      </c>
      <c r="I316" s="2" t="str">
        <f t="shared" si="62"/>
        <v>4100401</v>
      </c>
      <c r="J316" s="2">
        <f>31400</f>
        <v>31400</v>
      </c>
      <c r="K316" s="2" t="str">
        <f t="shared" si="59"/>
        <v>脚</v>
      </c>
      <c r="L316" s="2" t="str">
        <f t="shared" si="63"/>
        <v>3630331</v>
      </c>
      <c r="M316" s="2" t="str">
        <f>""</f>
        <v/>
      </c>
    </row>
    <row r="317" spans="1:13" x14ac:dyDescent="0.15">
      <c r="A317" s="2" t="str">
        <f t="shared" si="57"/>
        <v>1881110500</v>
      </c>
      <c r="B317" s="2" t="str">
        <f t="shared" si="58"/>
        <v>佐伯・区政調整</v>
      </c>
      <c r="C317" s="2" t="str">
        <f t="shared" si="54"/>
        <v>01ｲ00311</v>
      </c>
      <c r="D317" s="2" t="str">
        <f t="shared" si="55"/>
        <v>肘掛椅子</v>
      </c>
      <c r="E317" s="3" t="str">
        <f t="shared" si="60"/>
        <v>肘付</v>
      </c>
      <c r="F317" s="2" t="str">
        <f t="shared" si="61"/>
        <v>０００１</v>
      </c>
      <c r="G317" s="2" t="str">
        <f>"3620003409"</f>
        <v>3620003409</v>
      </c>
      <c r="H317" s="2" t="str">
        <f t="shared" si="56"/>
        <v>001</v>
      </c>
      <c r="I317" s="2" t="str">
        <f t="shared" si="62"/>
        <v>4100401</v>
      </c>
      <c r="J317" s="2">
        <f>31400</f>
        <v>31400</v>
      </c>
      <c r="K317" s="2" t="str">
        <f t="shared" si="59"/>
        <v>脚</v>
      </c>
      <c r="L317" s="2" t="str">
        <f t="shared" si="63"/>
        <v>3630331</v>
      </c>
      <c r="M317" s="2" t="str">
        <f>""</f>
        <v/>
      </c>
    </row>
    <row r="318" spans="1:13" x14ac:dyDescent="0.15">
      <c r="A318" s="2" t="str">
        <f t="shared" si="57"/>
        <v>1881110500</v>
      </c>
      <c r="B318" s="2" t="str">
        <f t="shared" si="58"/>
        <v>佐伯・区政調整</v>
      </c>
      <c r="C318" s="2" t="str">
        <f t="shared" si="54"/>
        <v>01ｲ00311</v>
      </c>
      <c r="D318" s="2" t="str">
        <f t="shared" si="55"/>
        <v>肘掛椅子</v>
      </c>
      <c r="E318" s="3" t="str">
        <f t="shared" si="60"/>
        <v>肘付</v>
      </c>
      <c r="F318" s="2" t="str">
        <f t="shared" si="61"/>
        <v>０００１</v>
      </c>
      <c r="G318" s="2" t="str">
        <f>"3620003410"</f>
        <v>3620003410</v>
      </c>
      <c r="H318" s="2" t="str">
        <f t="shared" si="56"/>
        <v>001</v>
      </c>
      <c r="I318" s="2" t="str">
        <f t="shared" si="62"/>
        <v>4100401</v>
      </c>
      <c r="J318" s="2">
        <f>31400</f>
        <v>31400</v>
      </c>
      <c r="K318" s="2" t="str">
        <f t="shared" si="59"/>
        <v>脚</v>
      </c>
      <c r="L318" s="2" t="str">
        <f t="shared" si="63"/>
        <v>3630331</v>
      </c>
      <c r="M318" s="2" t="str">
        <f>""</f>
        <v/>
      </c>
    </row>
    <row r="319" spans="1:13" x14ac:dyDescent="0.15">
      <c r="A319" s="2" t="str">
        <f t="shared" si="57"/>
        <v>1881110500</v>
      </c>
      <c r="B319" s="2" t="str">
        <f t="shared" si="58"/>
        <v>佐伯・区政調整</v>
      </c>
      <c r="C319" s="2" t="str">
        <f t="shared" si="54"/>
        <v>01ｲ00311</v>
      </c>
      <c r="D319" s="2" t="str">
        <f t="shared" si="55"/>
        <v>肘掛椅子</v>
      </c>
      <c r="E319" s="3" t="str">
        <f t="shared" si="60"/>
        <v>肘付</v>
      </c>
      <c r="F319" s="2" t="str">
        <f t="shared" si="61"/>
        <v>０００１</v>
      </c>
      <c r="G319" s="2" t="str">
        <f>"3620003411"</f>
        <v>3620003411</v>
      </c>
      <c r="H319" s="2" t="str">
        <f t="shared" si="56"/>
        <v>001</v>
      </c>
      <c r="I319" s="2" t="str">
        <f t="shared" si="62"/>
        <v>4100401</v>
      </c>
      <c r="J319" s="2">
        <f>31400</f>
        <v>31400</v>
      </c>
      <c r="K319" s="2" t="str">
        <f t="shared" si="59"/>
        <v>脚</v>
      </c>
      <c r="L319" s="2" t="str">
        <f t="shared" si="63"/>
        <v>3630331</v>
      </c>
      <c r="M319" s="2" t="str">
        <f>""</f>
        <v/>
      </c>
    </row>
    <row r="320" spans="1:13" x14ac:dyDescent="0.15">
      <c r="A320" s="2" t="str">
        <f t="shared" si="57"/>
        <v>1881110500</v>
      </c>
      <c r="B320" s="2" t="str">
        <f t="shared" si="58"/>
        <v>佐伯・区政調整</v>
      </c>
      <c r="C320" s="2" t="str">
        <f t="shared" si="54"/>
        <v>01ｲ00311</v>
      </c>
      <c r="D320" s="2" t="str">
        <f t="shared" si="55"/>
        <v>肘掛椅子</v>
      </c>
      <c r="E320" s="3" t="str">
        <f t="shared" si="60"/>
        <v>肘付</v>
      </c>
      <c r="F320" s="2" t="str">
        <f t="shared" si="61"/>
        <v>０００１</v>
      </c>
      <c r="G320" s="2" t="str">
        <f>"3620003412"</f>
        <v>3620003412</v>
      </c>
      <c r="H320" s="2" t="str">
        <f t="shared" si="56"/>
        <v>001</v>
      </c>
      <c r="I320" s="2" t="str">
        <f t="shared" si="62"/>
        <v>4100401</v>
      </c>
      <c r="J320" s="2">
        <f>31400</f>
        <v>31400</v>
      </c>
      <c r="K320" s="2" t="str">
        <f t="shared" si="59"/>
        <v>脚</v>
      </c>
      <c r="L320" s="2" t="str">
        <f t="shared" si="63"/>
        <v>3630331</v>
      </c>
      <c r="M320" s="2" t="str">
        <f>""</f>
        <v/>
      </c>
    </row>
    <row r="321" spans="1:13" x14ac:dyDescent="0.15">
      <c r="A321" s="2" t="str">
        <f t="shared" si="57"/>
        <v>1881110500</v>
      </c>
      <c r="B321" s="2" t="str">
        <f t="shared" si="58"/>
        <v>佐伯・区政調整</v>
      </c>
      <c r="C321" s="2" t="str">
        <f t="shared" si="54"/>
        <v>01ｲ00311</v>
      </c>
      <c r="D321" s="2" t="str">
        <f t="shared" si="55"/>
        <v>肘掛椅子</v>
      </c>
      <c r="E321" s="3" t="str">
        <f t="shared" si="60"/>
        <v>肘付</v>
      </c>
      <c r="F321" s="2" t="str">
        <f t="shared" si="61"/>
        <v>０００１</v>
      </c>
      <c r="G321" s="2" t="str">
        <f>"3620003413"</f>
        <v>3620003413</v>
      </c>
      <c r="H321" s="2" t="str">
        <f t="shared" si="56"/>
        <v>001</v>
      </c>
      <c r="I321" s="2" t="str">
        <f t="shared" si="62"/>
        <v>4100401</v>
      </c>
      <c r="J321" s="2">
        <f>31400</f>
        <v>31400</v>
      </c>
      <c r="K321" s="2" t="str">
        <f t="shared" si="59"/>
        <v>脚</v>
      </c>
      <c r="L321" s="2" t="str">
        <f t="shared" si="63"/>
        <v>3630331</v>
      </c>
      <c r="M321" s="2" t="str">
        <f>""</f>
        <v/>
      </c>
    </row>
    <row r="322" spans="1:13" x14ac:dyDescent="0.15">
      <c r="A322" s="2" t="str">
        <f t="shared" si="57"/>
        <v>1881110500</v>
      </c>
      <c r="B322" s="2" t="str">
        <f t="shared" si="58"/>
        <v>佐伯・区政調整</v>
      </c>
      <c r="C322" s="2" t="str">
        <f t="shared" si="54"/>
        <v>01ｲ00311</v>
      </c>
      <c r="D322" s="2" t="str">
        <f t="shared" si="55"/>
        <v>肘掛椅子</v>
      </c>
      <c r="E322" s="3" t="str">
        <f t="shared" si="60"/>
        <v>肘付</v>
      </c>
      <c r="F322" s="2" t="str">
        <f t="shared" si="61"/>
        <v>０００１</v>
      </c>
      <c r="G322" s="2" t="str">
        <f>"3620003414"</f>
        <v>3620003414</v>
      </c>
      <c r="H322" s="2" t="str">
        <f t="shared" si="56"/>
        <v>001</v>
      </c>
      <c r="I322" s="2" t="str">
        <f t="shared" si="62"/>
        <v>4100401</v>
      </c>
      <c r="J322" s="2">
        <f>31400</f>
        <v>31400</v>
      </c>
      <c r="K322" s="2" t="str">
        <f t="shared" si="59"/>
        <v>脚</v>
      </c>
      <c r="L322" s="2" t="str">
        <f t="shared" si="63"/>
        <v>3630331</v>
      </c>
      <c r="M322" s="2" t="str">
        <f>""</f>
        <v/>
      </c>
    </row>
    <row r="323" spans="1:13" x14ac:dyDescent="0.15">
      <c r="A323" s="2" t="str">
        <f t="shared" si="57"/>
        <v>1881110500</v>
      </c>
      <c r="B323" s="2" t="str">
        <f t="shared" si="58"/>
        <v>佐伯・区政調整</v>
      </c>
      <c r="C323" s="2" t="str">
        <f t="shared" si="54"/>
        <v>01ｲ00311</v>
      </c>
      <c r="D323" s="2" t="str">
        <f t="shared" si="55"/>
        <v>肘掛椅子</v>
      </c>
      <c r="E323" s="3" t="str">
        <f t="shared" si="60"/>
        <v>肘付</v>
      </c>
      <c r="F323" s="2" t="str">
        <f t="shared" si="61"/>
        <v>０００１</v>
      </c>
      <c r="G323" s="2" t="str">
        <f>"3620003415"</f>
        <v>3620003415</v>
      </c>
      <c r="H323" s="2" t="str">
        <f t="shared" si="56"/>
        <v>001</v>
      </c>
      <c r="I323" s="2" t="str">
        <f t="shared" si="62"/>
        <v>4100401</v>
      </c>
      <c r="J323" s="2">
        <f>31400</f>
        <v>31400</v>
      </c>
      <c r="K323" s="2" t="str">
        <f t="shared" si="59"/>
        <v>脚</v>
      </c>
      <c r="L323" s="2" t="str">
        <f t="shared" si="63"/>
        <v>3630331</v>
      </c>
      <c r="M323" s="2" t="str">
        <f>""</f>
        <v/>
      </c>
    </row>
    <row r="324" spans="1:13" x14ac:dyDescent="0.15">
      <c r="A324" s="2" t="str">
        <f t="shared" si="57"/>
        <v>1881110500</v>
      </c>
      <c r="B324" s="2" t="str">
        <f t="shared" si="58"/>
        <v>佐伯・区政調整</v>
      </c>
      <c r="C324" s="2" t="str">
        <f t="shared" si="54"/>
        <v>01ｲ00311</v>
      </c>
      <c r="D324" s="2" t="str">
        <f t="shared" si="55"/>
        <v>肘掛椅子</v>
      </c>
      <c r="E324" s="3" t="str">
        <f t="shared" si="60"/>
        <v>肘付</v>
      </c>
      <c r="F324" s="2" t="str">
        <f t="shared" si="61"/>
        <v>０００１</v>
      </c>
      <c r="G324" s="2" t="str">
        <f>"3620003416"</f>
        <v>3620003416</v>
      </c>
      <c r="H324" s="2" t="str">
        <f t="shared" si="56"/>
        <v>001</v>
      </c>
      <c r="I324" s="2" t="str">
        <f t="shared" si="62"/>
        <v>4100401</v>
      </c>
      <c r="J324" s="2">
        <f>31400</f>
        <v>31400</v>
      </c>
      <c r="K324" s="2" t="str">
        <f t="shared" si="59"/>
        <v>脚</v>
      </c>
      <c r="L324" s="2" t="str">
        <f t="shared" si="63"/>
        <v>3630331</v>
      </c>
      <c r="M324" s="2" t="str">
        <f>""</f>
        <v/>
      </c>
    </row>
    <row r="325" spans="1:13" x14ac:dyDescent="0.15">
      <c r="A325" s="2" t="str">
        <f t="shared" si="57"/>
        <v>1881110500</v>
      </c>
      <c r="B325" s="2" t="str">
        <f t="shared" si="58"/>
        <v>佐伯・区政調整</v>
      </c>
      <c r="C325" s="2" t="str">
        <f t="shared" si="54"/>
        <v>01ｲ00311</v>
      </c>
      <c r="D325" s="2" t="str">
        <f t="shared" si="55"/>
        <v>肘掛椅子</v>
      </c>
      <c r="E325" s="3" t="str">
        <f t="shared" si="60"/>
        <v>肘付</v>
      </c>
      <c r="F325" s="2" t="str">
        <f t="shared" si="61"/>
        <v>０００１</v>
      </c>
      <c r="G325" s="2" t="str">
        <f>"3620003417"</f>
        <v>3620003417</v>
      </c>
      <c r="H325" s="2" t="str">
        <f t="shared" si="56"/>
        <v>001</v>
      </c>
      <c r="I325" s="2" t="str">
        <f t="shared" si="62"/>
        <v>4100401</v>
      </c>
      <c r="J325" s="2">
        <f>31400</f>
        <v>31400</v>
      </c>
      <c r="K325" s="2" t="str">
        <f t="shared" si="59"/>
        <v>脚</v>
      </c>
      <c r="L325" s="2" t="str">
        <f t="shared" si="63"/>
        <v>3630331</v>
      </c>
      <c r="M325" s="2" t="str">
        <f>""</f>
        <v/>
      </c>
    </row>
    <row r="326" spans="1:13" x14ac:dyDescent="0.15">
      <c r="A326" s="2" t="str">
        <f t="shared" si="57"/>
        <v>1881110500</v>
      </c>
      <c r="B326" s="2" t="str">
        <f t="shared" si="58"/>
        <v>佐伯・区政調整</v>
      </c>
      <c r="C326" s="2" t="str">
        <f t="shared" si="54"/>
        <v>01ｲ00311</v>
      </c>
      <c r="D326" s="2" t="str">
        <f t="shared" si="55"/>
        <v>肘掛椅子</v>
      </c>
      <c r="E326" s="3" t="str">
        <f t="shared" si="60"/>
        <v>肘付</v>
      </c>
      <c r="F326" s="2" t="str">
        <f t="shared" si="61"/>
        <v>０００１</v>
      </c>
      <c r="G326" s="2" t="str">
        <f>"3620003418"</f>
        <v>3620003418</v>
      </c>
      <c r="H326" s="2" t="str">
        <f t="shared" si="56"/>
        <v>001</v>
      </c>
      <c r="I326" s="2" t="str">
        <f t="shared" si="62"/>
        <v>4100401</v>
      </c>
      <c r="J326" s="2">
        <f>31400</f>
        <v>31400</v>
      </c>
      <c r="K326" s="2" t="str">
        <f t="shared" si="59"/>
        <v>脚</v>
      </c>
      <c r="L326" s="2" t="str">
        <f t="shared" si="63"/>
        <v>3630331</v>
      </c>
      <c r="M326" s="2" t="str">
        <f>""</f>
        <v/>
      </c>
    </row>
    <row r="327" spans="1:13" x14ac:dyDescent="0.15">
      <c r="A327" s="2" t="str">
        <f t="shared" si="57"/>
        <v>1881110500</v>
      </c>
      <c r="B327" s="2" t="str">
        <f t="shared" si="58"/>
        <v>佐伯・区政調整</v>
      </c>
      <c r="C327" s="2" t="str">
        <f t="shared" si="54"/>
        <v>01ｲ00311</v>
      </c>
      <c r="D327" s="2" t="str">
        <f t="shared" si="55"/>
        <v>肘掛椅子</v>
      </c>
      <c r="E327" s="3" t="str">
        <f t="shared" si="60"/>
        <v>肘付</v>
      </c>
      <c r="F327" s="2" t="str">
        <f t="shared" si="61"/>
        <v>０００１</v>
      </c>
      <c r="G327" s="2" t="str">
        <f>"3620003419"</f>
        <v>3620003419</v>
      </c>
      <c r="H327" s="2" t="str">
        <f t="shared" si="56"/>
        <v>001</v>
      </c>
      <c r="I327" s="2" t="str">
        <f t="shared" si="62"/>
        <v>4100401</v>
      </c>
      <c r="J327" s="2">
        <f>31400</f>
        <v>31400</v>
      </c>
      <c r="K327" s="2" t="str">
        <f t="shared" si="59"/>
        <v>脚</v>
      </c>
      <c r="L327" s="2" t="str">
        <f t="shared" si="63"/>
        <v>3630331</v>
      </c>
      <c r="M327" s="2" t="str">
        <f>""</f>
        <v/>
      </c>
    </row>
    <row r="328" spans="1:13" x14ac:dyDescent="0.15">
      <c r="A328" s="2" t="str">
        <f t="shared" si="57"/>
        <v>1881110500</v>
      </c>
      <c r="B328" s="2" t="str">
        <f t="shared" si="58"/>
        <v>佐伯・区政調整</v>
      </c>
      <c r="C328" s="2" t="str">
        <f t="shared" si="54"/>
        <v>01ｲ00311</v>
      </c>
      <c r="D328" s="2" t="str">
        <f t="shared" si="55"/>
        <v>肘掛椅子</v>
      </c>
      <c r="E328" s="3" t="str">
        <f t="shared" si="60"/>
        <v>肘付</v>
      </c>
      <c r="F328" s="2" t="str">
        <f t="shared" si="61"/>
        <v>０００１</v>
      </c>
      <c r="G328" s="2" t="str">
        <f>"3620003420"</f>
        <v>3620003420</v>
      </c>
      <c r="H328" s="2" t="str">
        <f t="shared" si="56"/>
        <v>001</v>
      </c>
      <c r="I328" s="2" t="str">
        <f t="shared" si="62"/>
        <v>4100401</v>
      </c>
      <c r="J328" s="2">
        <f>31400</f>
        <v>31400</v>
      </c>
      <c r="K328" s="2" t="str">
        <f t="shared" si="59"/>
        <v>脚</v>
      </c>
      <c r="L328" s="2" t="str">
        <f t="shared" si="63"/>
        <v>3630331</v>
      </c>
      <c r="M328" s="2" t="str">
        <f>""</f>
        <v/>
      </c>
    </row>
    <row r="329" spans="1:13" x14ac:dyDescent="0.15">
      <c r="A329" s="2" t="str">
        <f t="shared" si="57"/>
        <v>1881110500</v>
      </c>
      <c r="B329" s="2" t="str">
        <f t="shared" si="58"/>
        <v>佐伯・区政調整</v>
      </c>
      <c r="C329" s="2" t="str">
        <f t="shared" si="54"/>
        <v>01ｲ00311</v>
      </c>
      <c r="D329" s="2" t="str">
        <f t="shared" si="55"/>
        <v>肘掛椅子</v>
      </c>
      <c r="E329" s="3" t="str">
        <f t="shared" si="60"/>
        <v>肘付</v>
      </c>
      <c r="F329" s="2" t="str">
        <f t="shared" si="61"/>
        <v>０００１</v>
      </c>
      <c r="G329" s="2" t="str">
        <f>"3620003421"</f>
        <v>3620003421</v>
      </c>
      <c r="H329" s="2" t="str">
        <f t="shared" si="56"/>
        <v>001</v>
      </c>
      <c r="I329" s="2" t="str">
        <f t="shared" si="62"/>
        <v>4100401</v>
      </c>
      <c r="J329" s="2">
        <f>31400</f>
        <v>31400</v>
      </c>
      <c r="K329" s="2" t="str">
        <f t="shared" si="59"/>
        <v>脚</v>
      </c>
      <c r="L329" s="2" t="str">
        <f t="shared" si="63"/>
        <v>3630331</v>
      </c>
      <c r="M329" s="2" t="str">
        <f>""</f>
        <v/>
      </c>
    </row>
    <row r="330" spans="1:13" x14ac:dyDescent="0.15">
      <c r="A330" s="2" t="str">
        <f t="shared" si="57"/>
        <v>1881110500</v>
      </c>
      <c r="B330" s="2" t="str">
        <f t="shared" si="58"/>
        <v>佐伯・区政調整</v>
      </c>
      <c r="C330" s="2" t="str">
        <f t="shared" ref="C330:C393" si="64">"01ｲ00311"</f>
        <v>01ｲ00311</v>
      </c>
      <c r="D330" s="2" t="str">
        <f t="shared" ref="D330:D393" si="65">"肘掛椅子"</f>
        <v>肘掛椅子</v>
      </c>
      <c r="E330" s="3" t="str">
        <f t="shared" si="60"/>
        <v>肘付</v>
      </c>
      <c r="F330" s="2" t="str">
        <f t="shared" si="61"/>
        <v>０００１</v>
      </c>
      <c r="G330" s="2" t="str">
        <f>"3620003422"</f>
        <v>3620003422</v>
      </c>
      <c r="H330" s="2" t="str">
        <f t="shared" ref="H330:H393" si="66">"001"</f>
        <v>001</v>
      </c>
      <c r="I330" s="2" t="str">
        <f t="shared" si="62"/>
        <v>4100401</v>
      </c>
      <c r="J330" s="2">
        <f>31400</f>
        <v>31400</v>
      </c>
      <c r="K330" s="2" t="str">
        <f t="shared" si="59"/>
        <v>脚</v>
      </c>
      <c r="L330" s="2" t="str">
        <f t="shared" si="63"/>
        <v>3630331</v>
      </c>
      <c r="M330" s="2" t="str">
        <f>""</f>
        <v/>
      </c>
    </row>
    <row r="331" spans="1:13" x14ac:dyDescent="0.15">
      <c r="A331" s="2" t="str">
        <f t="shared" si="57"/>
        <v>1881110500</v>
      </c>
      <c r="B331" s="2" t="str">
        <f t="shared" si="58"/>
        <v>佐伯・区政調整</v>
      </c>
      <c r="C331" s="2" t="str">
        <f t="shared" si="64"/>
        <v>01ｲ00311</v>
      </c>
      <c r="D331" s="2" t="str">
        <f t="shared" si="65"/>
        <v>肘掛椅子</v>
      </c>
      <c r="E331" s="3" t="str">
        <f t="shared" si="60"/>
        <v>肘付</v>
      </c>
      <c r="F331" s="2" t="str">
        <f t="shared" si="61"/>
        <v>０００１</v>
      </c>
      <c r="G331" s="2" t="str">
        <f>"3620003423"</f>
        <v>3620003423</v>
      </c>
      <c r="H331" s="2" t="str">
        <f t="shared" si="66"/>
        <v>001</v>
      </c>
      <c r="I331" s="2" t="str">
        <f t="shared" si="62"/>
        <v>4100401</v>
      </c>
      <c r="J331" s="2">
        <f>31400</f>
        <v>31400</v>
      </c>
      <c r="K331" s="2" t="str">
        <f t="shared" si="59"/>
        <v>脚</v>
      </c>
      <c r="L331" s="2" t="str">
        <f t="shared" si="63"/>
        <v>3630331</v>
      </c>
      <c r="M331" s="2" t="str">
        <f>""</f>
        <v/>
      </c>
    </row>
    <row r="332" spans="1:13" x14ac:dyDescent="0.15">
      <c r="A332" s="2" t="str">
        <f t="shared" si="57"/>
        <v>1881110500</v>
      </c>
      <c r="B332" s="2" t="str">
        <f t="shared" si="58"/>
        <v>佐伯・区政調整</v>
      </c>
      <c r="C332" s="2" t="str">
        <f t="shared" si="64"/>
        <v>01ｲ00311</v>
      </c>
      <c r="D332" s="2" t="str">
        <f t="shared" si="65"/>
        <v>肘掛椅子</v>
      </c>
      <c r="E332" s="3" t="str">
        <f t="shared" si="60"/>
        <v>肘付</v>
      </c>
      <c r="F332" s="2" t="str">
        <f t="shared" si="61"/>
        <v>０００１</v>
      </c>
      <c r="G332" s="2" t="str">
        <f>"3620003424"</f>
        <v>3620003424</v>
      </c>
      <c r="H332" s="2" t="str">
        <f t="shared" si="66"/>
        <v>001</v>
      </c>
      <c r="I332" s="2" t="str">
        <f t="shared" si="62"/>
        <v>4100401</v>
      </c>
      <c r="J332" s="2">
        <f>31400</f>
        <v>31400</v>
      </c>
      <c r="K332" s="2" t="str">
        <f t="shared" si="59"/>
        <v>脚</v>
      </c>
      <c r="L332" s="2" t="str">
        <f t="shared" si="63"/>
        <v>3630331</v>
      </c>
      <c r="M332" s="2" t="str">
        <f>""</f>
        <v/>
      </c>
    </row>
    <row r="333" spans="1:13" x14ac:dyDescent="0.15">
      <c r="A333" s="2" t="str">
        <f t="shared" si="57"/>
        <v>1881110500</v>
      </c>
      <c r="B333" s="2" t="str">
        <f t="shared" si="58"/>
        <v>佐伯・区政調整</v>
      </c>
      <c r="C333" s="2" t="str">
        <f t="shared" si="64"/>
        <v>01ｲ00311</v>
      </c>
      <c r="D333" s="2" t="str">
        <f t="shared" si="65"/>
        <v>肘掛椅子</v>
      </c>
      <c r="E333" s="3" t="str">
        <f t="shared" si="60"/>
        <v>肘付</v>
      </c>
      <c r="F333" s="2" t="str">
        <f t="shared" si="61"/>
        <v>０００１</v>
      </c>
      <c r="G333" s="2" t="str">
        <f>"3620003425"</f>
        <v>3620003425</v>
      </c>
      <c r="H333" s="2" t="str">
        <f t="shared" si="66"/>
        <v>001</v>
      </c>
      <c r="I333" s="2" t="str">
        <f t="shared" si="62"/>
        <v>4100401</v>
      </c>
      <c r="J333" s="2">
        <f>31400</f>
        <v>31400</v>
      </c>
      <c r="K333" s="2" t="str">
        <f t="shared" si="59"/>
        <v>脚</v>
      </c>
      <c r="L333" s="2" t="str">
        <f t="shared" si="63"/>
        <v>3630331</v>
      </c>
      <c r="M333" s="2" t="str">
        <f>""</f>
        <v/>
      </c>
    </row>
    <row r="334" spans="1:13" x14ac:dyDescent="0.15">
      <c r="A334" s="2" t="str">
        <f t="shared" si="57"/>
        <v>1881110500</v>
      </c>
      <c r="B334" s="2" t="str">
        <f t="shared" si="58"/>
        <v>佐伯・区政調整</v>
      </c>
      <c r="C334" s="2" t="str">
        <f t="shared" si="64"/>
        <v>01ｲ00311</v>
      </c>
      <c r="D334" s="2" t="str">
        <f t="shared" si="65"/>
        <v>肘掛椅子</v>
      </c>
      <c r="E334" s="3" t="str">
        <f t="shared" si="60"/>
        <v>肘付</v>
      </c>
      <c r="F334" s="2" t="str">
        <f t="shared" si="61"/>
        <v>０００１</v>
      </c>
      <c r="G334" s="2" t="str">
        <f>"3620003426"</f>
        <v>3620003426</v>
      </c>
      <c r="H334" s="2" t="str">
        <f t="shared" si="66"/>
        <v>001</v>
      </c>
      <c r="I334" s="2" t="str">
        <f t="shared" si="62"/>
        <v>4100401</v>
      </c>
      <c r="J334" s="2">
        <f>31400</f>
        <v>31400</v>
      </c>
      <c r="K334" s="2" t="str">
        <f t="shared" si="59"/>
        <v>脚</v>
      </c>
      <c r="L334" s="2" t="str">
        <f t="shared" si="63"/>
        <v>3630331</v>
      </c>
      <c r="M334" s="2" t="str">
        <f>""</f>
        <v/>
      </c>
    </row>
    <row r="335" spans="1:13" x14ac:dyDescent="0.15">
      <c r="A335" s="2" t="str">
        <f t="shared" si="57"/>
        <v>1881110500</v>
      </c>
      <c r="B335" s="2" t="str">
        <f t="shared" si="58"/>
        <v>佐伯・区政調整</v>
      </c>
      <c r="C335" s="2" t="str">
        <f t="shared" si="64"/>
        <v>01ｲ00311</v>
      </c>
      <c r="D335" s="2" t="str">
        <f t="shared" si="65"/>
        <v>肘掛椅子</v>
      </c>
      <c r="E335" s="3" t="str">
        <f t="shared" si="60"/>
        <v>肘付</v>
      </c>
      <c r="F335" s="2" t="str">
        <f t="shared" si="61"/>
        <v>０００１</v>
      </c>
      <c r="G335" s="2" t="str">
        <f>"3620003427"</f>
        <v>3620003427</v>
      </c>
      <c r="H335" s="2" t="str">
        <f t="shared" si="66"/>
        <v>001</v>
      </c>
      <c r="I335" s="2" t="str">
        <f t="shared" si="62"/>
        <v>4100401</v>
      </c>
      <c r="J335" s="2">
        <f>31400</f>
        <v>31400</v>
      </c>
      <c r="K335" s="2" t="str">
        <f t="shared" si="59"/>
        <v>脚</v>
      </c>
      <c r="L335" s="2" t="str">
        <f t="shared" si="63"/>
        <v>3630331</v>
      </c>
      <c r="M335" s="2" t="str">
        <f>""</f>
        <v/>
      </c>
    </row>
    <row r="336" spans="1:13" x14ac:dyDescent="0.15">
      <c r="A336" s="2" t="str">
        <f t="shared" si="57"/>
        <v>1881110500</v>
      </c>
      <c r="B336" s="2" t="str">
        <f t="shared" si="58"/>
        <v>佐伯・区政調整</v>
      </c>
      <c r="C336" s="2" t="str">
        <f t="shared" si="64"/>
        <v>01ｲ00311</v>
      </c>
      <c r="D336" s="2" t="str">
        <f t="shared" si="65"/>
        <v>肘掛椅子</v>
      </c>
      <c r="E336" s="3" t="str">
        <f t="shared" si="60"/>
        <v>肘付</v>
      </c>
      <c r="F336" s="2" t="str">
        <f t="shared" si="61"/>
        <v>０００１</v>
      </c>
      <c r="G336" s="2" t="str">
        <f>"3620003428"</f>
        <v>3620003428</v>
      </c>
      <c r="H336" s="2" t="str">
        <f t="shared" si="66"/>
        <v>001</v>
      </c>
      <c r="I336" s="2" t="str">
        <f t="shared" si="62"/>
        <v>4100401</v>
      </c>
      <c r="J336" s="2">
        <f>31400</f>
        <v>31400</v>
      </c>
      <c r="K336" s="2" t="str">
        <f t="shared" si="59"/>
        <v>脚</v>
      </c>
      <c r="L336" s="2" t="str">
        <f t="shared" si="63"/>
        <v>3630331</v>
      </c>
      <c r="M336" s="2" t="str">
        <f>""</f>
        <v/>
      </c>
    </row>
    <row r="337" spans="1:13" x14ac:dyDescent="0.15">
      <c r="A337" s="2" t="str">
        <f t="shared" si="57"/>
        <v>1881110500</v>
      </c>
      <c r="B337" s="2" t="str">
        <f t="shared" si="58"/>
        <v>佐伯・区政調整</v>
      </c>
      <c r="C337" s="2" t="str">
        <f t="shared" si="64"/>
        <v>01ｲ00311</v>
      </c>
      <c r="D337" s="2" t="str">
        <f t="shared" si="65"/>
        <v>肘掛椅子</v>
      </c>
      <c r="E337" s="3" t="str">
        <f t="shared" si="60"/>
        <v>肘付</v>
      </c>
      <c r="F337" s="2" t="str">
        <f t="shared" si="61"/>
        <v>０００１</v>
      </c>
      <c r="G337" s="2" t="str">
        <f>"3620003429"</f>
        <v>3620003429</v>
      </c>
      <c r="H337" s="2" t="str">
        <f t="shared" si="66"/>
        <v>001</v>
      </c>
      <c r="I337" s="2" t="str">
        <f t="shared" si="62"/>
        <v>4100401</v>
      </c>
      <c r="J337" s="2">
        <f>31400</f>
        <v>31400</v>
      </c>
      <c r="K337" s="2" t="str">
        <f t="shared" si="59"/>
        <v>脚</v>
      </c>
      <c r="L337" s="2" t="str">
        <f t="shared" si="63"/>
        <v>3630331</v>
      </c>
      <c r="M337" s="2" t="str">
        <f>""</f>
        <v/>
      </c>
    </row>
    <row r="338" spans="1:13" x14ac:dyDescent="0.15">
      <c r="A338" s="2" t="str">
        <f t="shared" si="57"/>
        <v>1881110500</v>
      </c>
      <c r="B338" s="2" t="str">
        <f t="shared" si="58"/>
        <v>佐伯・区政調整</v>
      </c>
      <c r="C338" s="2" t="str">
        <f t="shared" si="64"/>
        <v>01ｲ00311</v>
      </c>
      <c r="D338" s="2" t="str">
        <f t="shared" si="65"/>
        <v>肘掛椅子</v>
      </c>
      <c r="E338" s="3" t="str">
        <f t="shared" si="60"/>
        <v>肘付</v>
      </c>
      <c r="F338" s="2" t="str">
        <f t="shared" si="61"/>
        <v>０００１</v>
      </c>
      <c r="G338" s="2" t="str">
        <f>"3620003430"</f>
        <v>3620003430</v>
      </c>
      <c r="H338" s="2" t="str">
        <f t="shared" si="66"/>
        <v>001</v>
      </c>
      <c r="I338" s="2" t="str">
        <f t="shared" si="62"/>
        <v>4100401</v>
      </c>
      <c r="J338" s="2">
        <f>31400</f>
        <v>31400</v>
      </c>
      <c r="K338" s="2" t="str">
        <f t="shared" si="59"/>
        <v>脚</v>
      </c>
      <c r="L338" s="2" t="str">
        <f t="shared" si="63"/>
        <v>3630331</v>
      </c>
      <c r="M338" s="2" t="str">
        <f>""</f>
        <v/>
      </c>
    </row>
    <row r="339" spans="1:13" x14ac:dyDescent="0.15">
      <c r="A339" s="2" t="str">
        <f t="shared" si="57"/>
        <v>1881110500</v>
      </c>
      <c r="B339" s="2" t="str">
        <f t="shared" si="58"/>
        <v>佐伯・区政調整</v>
      </c>
      <c r="C339" s="2" t="str">
        <f t="shared" si="64"/>
        <v>01ｲ00311</v>
      </c>
      <c r="D339" s="2" t="str">
        <f t="shared" si="65"/>
        <v>肘掛椅子</v>
      </c>
      <c r="E339" s="3" t="str">
        <f t="shared" si="60"/>
        <v>肘付</v>
      </c>
      <c r="F339" s="2" t="str">
        <f t="shared" si="61"/>
        <v>０００１</v>
      </c>
      <c r="G339" s="2" t="str">
        <f>"3620003431"</f>
        <v>3620003431</v>
      </c>
      <c r="H339" s="2" t="str">
        <f t="shared" si="66"/>
        <v>001</v>
      </c>
      <c r="I339" s="2" t="str">
        <f t="shared" si="62"/>
        <v>4100401</v>
      </c>
      <c r="J339" s="2">
        <f>31400</f>
        <v>31400</v>
      </c>
      <c r="K339" s="2" t="str">
        <f t="shared" si="59"/>
        <v>脚</v>
      </c>
      <c r="L339" s="2" t="str">
        <f t="shared" si="63"/>
        <v>3630331</v>
      </c>
      <c r="M339" s="2" t="str">
        <f>""</f>
        <v/>
      </c>
    </row>
    <row r="340" spans="1:13" x14ac:dyDescent="0.15">
      <c r="A340" s="2" t="str">
        <f t="shared" si="57"/>
        <v>1881110500</v>
      </c>
      <c r="B340" s="2" t="str">
        <f t="shared" si="58"/>
        <v>佐伯・区政調整</v>
      </c>
      <c r="C340" s="2" t="str">
        <f t="shared" si="64"/>
        <v>01ｲ00311</v>
      </c>
      <c r="D340" s="2" t="str">
        <f t="shared" si="65"/>
        <v>肘掛椅子</v>
      </c>
      <c r="E340" s="3" t="str">
        <f t="shared" si="60"/>
        <v>肘付</v>
      </c>
      <c r="F340" s="2" t="str">
        <f t="shared" si="61"/>
        <v>０００１</v>
      </c>
      <c r="G340" s="2" t="str">
        <f>"3620003432"</f>
        <v>3620003432</v>
      </c>
      <c r="H340" s="2" t="str">
        <f t="shared" si="66"/>
        <v>001</v>
      </c>
      <c r="I340" s="2" t="str">
        <f t="shared" si="62"/>
        <v>4100401</v>
      </c>
      <c r="J340" s="2">
        <f>31400</f>
        <v>31400</v>
      </c>
      <c r="K340" s="2" t="str">
        <f t="shared" si="59"/>
        <v>脚</v>
      </c>
      <c r="L340" s="2" t="str">
        <f t="shared" si="63"/>
        <v>3630331</v>
      </c>
      <c r="M340" s="2" t="str">
        <f>""</f>
        <v/>
      </c>
    </row>
    <row r="341" spans="1:13" x14ac:dyDescent="0.15">
      <c r="A341" s="2" t="str">
        <f t="shared" si="57"/>
        <v>1881110500</v>
      </c>
      <c r="B341" s="2" t="str">
        <f t="shared" si="58"/>
        <v>佐伯・区政調整</v>
      </c>
      <c r="C341" s="2" t="str">
        <f t="shared" si="64"/>
        <v>01ｲ00311</v>
      </c>
      <c r="D341" s="2" t="str">
        <f t="shared" si="65"/>
        <v>肘掛椅子</v>
      </c>
      <c r="E341" s="3" t="str">
        <f t="shared" si="60"/>
        <v>肘付</v>
      </c>
      <c r="F341" s="2" t="str">
        <f t="shared" si="61"/>
        <v>０００１</v>
      </c>
      <c r="G341" s="2" t="str">
        <f>"3620003433"</f>
        <v>3620003433</v>
      </c>
      <c r="H341" s="2" t="str">
        <f t="shared" si="66"/>
        <v>001</v>
      </c>
      <c r="I341" s="2" t="str">
        <f t="shared" si="62"/>
        <v>4100401</v>
      </c>
      <c r="J341" s="2">
        <f>31400</f>
        <v>31400</v>
      </c>
      <c r="K341" s="2" t="str">
        <f t="shared" si="59"/>
        <v>脚</v>
      </c>
      <c r="L341" s="2" t="str">
        <f t="shared" si="63"/>
        <v>3630331</v>
      </c>
      <c r="M341" s="2" t="str">
        <f>""</f>
        <v/>
      </c>
    </row>
    <row r="342" spans="1:13" x14ac:dyDescent="0.15">
      <c r="A342" s="2" t="str">
        <f t="shared" si="57"/>
        <v>1881110500</v>
      </c>
      <c r="B342" s="2" t="str">
        <f t="shared" si="58"/>
        <v>佐伯・区政調整</v>
      </c>
      <c r="C342" s="2" t="str">
        <f t="shared" si="64"/>
        <v>01ｲ00311</v>
      </c>
      <c r="D342" s="2" t="str">
        <f t="shared" si="65"/>
        <v>肘掛椅子</v>
      </c>
      <c r="E342" s="3" t="str">
        <f t="shared" si="60"/>
        <v>肘付</v>
      </c>
      <c r="F342" s="2" t="str">
        <f t="shared" si="61"/>
        <v>０００１</v>
      </c>
      <c r="G342" s="2" t="str">
        <f>"3620003434"</f>
        <v>3620003434</v>
      </c>
      <c r="H342" s="2" t="str">
        <f t="shared" si="66"/>
        <v>001</v>
      </c>
      <c r="I342" s="2" t="str">
        <f t="shared" si="62"/>
        <v>4100401</v>
      </c>
      <c r="J342" s="2">
        <f>31400</f>
        <v>31400</v>
      </c>
      <c r="K342" s="2" t="str">
        <f t="shared" si="59"/>
        <v>脚</v>
      </c>
      <c r="L342" s="2" t="str">
        <f t="shared" si="63"/>
        <v>3630331</v>
      </c>
      <c r="M342" s="2" t="str">
        <f>""</f>
        <v/>
      </c>
    </row>
    <row r="343" spans="1:13" x14ac:dyDescent="0.15">
      <c r="A343" s="2" t="str">
        <f t="shared" si="57"/>
        <v>1881110500</v>
      </c>
      <c r="B343" s="2" t="str">
        <f t="shared" si="58"/>
        <v>佐伯・区政調整</v>
      </c>
      <c r="C343" s="2" t="str">
        <f t="shared" si="64"/>
        <v>01ｲ00311</v>
      </c>
      <c r="D343" s="2" t="str">
        <f t="shared" si="65"/>
        <v>肘掛椅子</v>
      </c>
      <c r="E343" s="3" t="str">
        <f t="shared" si="60"/>
        <v>肘付</v>
      </c>
      <c r="F343" s="2" t="str">
        <f t="shared" si="61"/>
        <v>０００１</v>
      </c>
      <c r="G343" s="2" t="str">
        <f>"3620003435"</f>
        <v>3620003435</v>
      </c>
      <c r="H343" s="2" t="str">
        <f t="shared" si="66"/>
        <v>001</v>
      </c>
      <c r="I343" s="2" t="str">
        <f t="shared" si="62"/>
        <v>4100401</v>
      </c>
      <c r="J343" s="2">
        <f>31400</f>
        <v>31400</v>
      </c>
      <c r="K343" s="2" t="str">
        <f t="shared" si="59"/>
        <v>脚</v>
      </c>
      <c r="L343" s="2" t="str">
        <f t="shared" si="63"/>
        <v>3630331</v>
      </c>
      <c r="M343" s="2" t="str">
        <f>""</f>
        <v/>
      </c>
    </row>
    <row r="344" spans="1:13" x14ac:dyDescent="0.15">
      <c r="A344" s="2" t="str">
        <f t="shared" si="57"/>
        <v>1881110500</v>
      </c>
      <c r="B344" s="2" t="str">
        <f t="shared" si="58"/>
        <v>佐伯・区政調整</v>
      </c>
      <c r="C344" s="2" t="str">
        <f t="shared" si="64"/>
        <v>01ｲ00311</v>
      </c>
      <c r="D344" s="2" t="str">
        <f t="shared" si="65"/>
        <v>肘掛椅子</v>
      </c>
      <c r="E344" s="3" t="str">
        <f t="shared" si="60"/>
        <v>肘付</v>
      </c>
      <c r="F344" s="2" t="str">
        <f t="shared" si="61"/>
        <v>０００１</v>
      </c>
      <c r="G344" s="2" t="str">
        <f>"3620003436"</f>
        <v>3620003436</v>
      </c>
      <c r="H344" s="2" t="str">
        <f t="shared" si="66"/>
        <v>001</v>
      </c>
      <c r="I344" s="2" t="str">
        <f t="shared" si="62"/>
        <v>4100401</v>
      </c>
      <c r="J344" s="2">
        <f>31400</f>
        <v>31400</v>
      </c>
      <c r="K344" s="2" t="str">
        <f t="shared" si="59"/>
        <v>脚</v>
      </c>
      <c r="L344" s="2" t="str">
        <f t="shared" si="63"/>
        <v>3630331</v>
      </c>
      <c r="M344" s="2" t="str">
        <f>""</f>
        <v/>
      </c>
    </row>
    <row r="345" spans="1:13" x14ac:dyDescent="0.15">
      <c r="A345" s="2" t="str">
        <f t="shared" si="57"/>
        <v>1881110500</v>
      </c>
      <c r="B345" s="2" t="str">
        <f t="shared" si="58"/>
        <v>佐伯・区政調整</v>
      </c>
      <c r="C345" s="2" t="str">
        <f t="shared" si="64"/>
        <v>01ｲ00311</v>
      </c>
      <c r="D345" s="2" t="str">
        <f t="shared" si="65"/>
        <v>肘掛椅子</v>
      </c>
      <c r="E345" s="3" t="str">
        <f t="shared" si="60"/>
        <v>肘付</v>
      </c>
      <c r="F345" s="2" t="str">
        <f t="shared" si="61"/>
        <v>０００１</v>
      </c>
      <c r="G345" s="2" t="str">
        <f>"3620003437"</f>
        <v>3620003437</v>
      </c>
      <c r="H345" s="2" t="str">
        <f t="shared" si="66"/>
        <v>001</v>
      </c>
      <c r="I345" s="2" t="str">
        <f t="shared" si="62"/>
        <v>4100401</v>
      </c>
      <c r="J345" s="2">
        <f>31400</f>
        <v>31400</v>
      </c>
      <c r="K345" s="2" t="str">
        <f t="shared" si="59"/>
        <v>脚</v>
      </c>
      <c r="L345" s="2" t="str">
        <f t="shared" si="63"/>
        <v>3630331</v>
      </c>
      <c r="M345" s="2" t="str">
        <f>""</f>
        <v/>
      </c>
    </row>
    <row r="346" spans="1:13" x14ac:dyDescent="0.15">
      <c r="A346" s="2" t="str">
        <f t="shared" ref="A346:A409" si="67">"1881110500"</f>
        <v>1881110500</v>
      </c>
      <c r="B346" s="2" t="str">
        <f t="shared" ref="B346:B409" si="68">"佐伯・区政調整"</f>
        <v>佐伯・区政調整</v>
      </c>
      <c r="C346" s="2" t="str">
        <f t="shared" si="64"/>
        <v>01ｲ00311</v>
      </c>
      <c r="D346" s="2" t="str">
        <f t="shared" si="65"/>
        <v>肘掛椅子</v>
      </c>
      <c r="E346" s="3" t="str">
        <f t="shared" si="60"/>
        <v>肘付</v>
      </c>
      <c r="F346" s="2" t="str">
        <f t="shared" si="61"/>
        <v>０００１</v>
      </c>
      <c r="G346" s="2" t="str">
        <f>"3620003438"</f>
        <v>3620003438</v>
      </c>
      <c r="H346" s="2" t="str">
        <f t="shared" si="66"/>
        <v>001</v>
      </c>
      <c r="I346" s="2" t="str">
        <f t="shared" si="62"/>
        <v>4100401</v>
      </c>
      <c r="J346" s="2">
        <f>31400</f>
        <v>31400</v>
      </c>
      <c r="K346" s="2" t="str">
        <f t="shared" ref="K346:K409" si="69">"脚"</f>
        <v>脚</v>
      </c>
      <c r="L346" s="2" t="str">
        <f t="shared" si="63"/>
        <v>3630331</v>
      </c>
      <c r="M346" s="2" t="str">
        <f>""</f>
        <v/>
      </c>
    </row>
    <row r="347" spans="1:13" x14ac:dyDescent="0.15">
      <c r="A347" s="2" t="str">
        <f t="shared" si="67"/>
        <v>1881110500</v>
      </c>
      <c r="B347" s="2" t="str">
        <f t="shared" si="68"/>
        <v>佐伯・区政調整</v>
      </c>
      <c r="C347" s="2" t="str">
        <f t="shared" si="64"/>
        <v>01ｲ00311</v>
      </c>
      <c r="D347" s="2" t="str">
        <f t="shared" si="65"/>
        <v>肘掛椅子</v>
      </c>
      <c r="E347" s="3" t="str">
        <f t="shared" si="60"/>
        <v>肘付</v>
      </c>
      <c r="F347" s="2" t="str">
        <f t="shared" si="61"/>
        <v>０００１</v>
      </c>
      <c r="G347" s="2" t="str">
        <f>"3620003439"</f>
        <v>3620003439</v>
      </c>
      <c r="H347" s="2" t="str">
        <f t="shared" si="66"/>
        <v>001</v>
      </c>
      <c r="I347" s="2" t="str">
        <f t="shared" si="62"/>
        <v>4100401</v>
      </c>
      <c r="J347" s="2">
        <f>31400</f>
        <v>31400</v>
      </c>
      <c r="K347" s="2" t="str">
        <f t="shared" si="69"/>
        <v>脚</v>
      </c>
      <c r="L347" s="2" t="str">
        <f t="shared" si="63"/>
        <v>3630331</v>
      </c>
      <c r="M347" s="2" t="str">
        <f>""</f>
        <v/>
      </c>
    </row>
    <row r="348" spans="1:13" x14ac:dyDescent="0.15">
      <c r="A348" s="2" t="str">
        <f t="shared" si="67"/>
        <v>1881110500</v>
      </c>
      <c r="B348" s="2" t="str">
        <f t="shared" si="68"/>
        <v>佐伯・区政調整</v>
      </c>
      <c r="C348" s="2" t="str">
        <f t="shared" si="64"/>
        <v>01ｲ00311</v>
      </c>
      <c r="D348" s="2" t="str">
        <f t="shared" si="65"/>
        <v>肘掛椅子</v>
      </c>
      <c r="E348" s="3" t="str">
        <f t="shared" si="60"/>
        <v>肘付</v>
      </c>
      <c r="F348" s="2" t="str">
        <f t="shared" si="61"/>
        <v>０００１</v>
      </c>
      <c r="G348" s="2" t="str">
        <f>"3620003440"</f>
        <v>3620003440</v>
      </c>
      <c r="H348" s="2" t="str">
        <f t="shared" si="66"/>
        <v>001</v>
      </c>
      <c r="I348" s="2" t="str">
        <f t="shared" si="62"/>
        <v>4100401</v>
      </c>
      <c r="J348" s="2">
        <f>31400</f>
        <v>31400</v>
      </c>
      <c r="K348" s="2" t="str">
        <f t="shared" si="69"/>
        <v>脚</v>
      </c>
      <c r="L348" s="2" t="str">
        <f t="shared" si="63"/>
        <v>3630331</v>
      </c>
      <c r="M348" s="2" t="str">
        <f>""</f>
        <v/>
      </c>
    </row>
    <row r="349" spans="1:13" x14ac:dyDescent="0.15">
      <c r="A349" s="2" t="str">
        <f t="shared" si="67"/>
        <v>1881110500</v>
      </c>
      <c r="B349" s="2" t="str">
        <f t="shared" si="68"/>
        <v>佐伯・区政調整</v>
      </c>
      <c r="C349" s="2" t="str">
        <f t="shared" si="64"/>
        <v>01ｲ00311</v>
      </c>
      <c r="D349" s="2" t="str">
        <f t="shared" si="65"/>
        <v>肘掛椅子</v>
      </c>
      <c r="E349" s="3" t="str">
        <f t="shared" si="60"/>
        <v>肘付</v>
      </c>
      <c r="F349" s="2" t="str">
        <f t="shared" si="61"/>
        <v>０００１</v>
      </c>
      <c r="G349" s="2" t="str">
        <f>"3620003441"</f>
        <v>3620003441</v>
      </c>
      <c r="H349" s="2" t="str">
        <f t="shared" si="66"/>
        <v>001</v>
      </c>
      <c r="I349" s="2" t="str">
        <f t="shared" si="62"/>
        <v>4100401</v>
      </c>
      <c r="J349" s="2">
        <f>31400</f>
        <v>31400</v>
      </c>
      <c r="K349" s="2" t="str">
        <f t="shared" si="69"/>
        <v>脚</v>
      </c>
      <c r="L349" s="2" t="str">
        <f t="shared" si="63"/>
        <v>3630331</v>
      </c>
      <c r="M349" s="2" t="str">
        <f>""</f>
        <v/>
      </c>
    </row>
    <row r="350" spans="1:13" x14ac:dyDescent="0.15">
      <c r="A350" s="2" t="str">
        <f t="shared" si="67"/>
        <v>1881110500</v>
      </c>
      <c r="B350" s="2" t="str">
        <f t="shared" si="68"/>
        <v>佐伯・区政調整</v>
      </c>
      <c r="C350" s="2" t="str">
        <f t="shared" si="64"/>
        <v>01ｲ00311</v>
      </c>
      <c r="D350" s="2" t="str">
        <f t="shared" si="65"/>
        <v>肘掛椅子</v>
      </c>
      <c r="E350" s="3" t="str">
        <f t="shared" si="60"/>
        <v>肘付</v>
      </c>
      <c r="F350" s="2" t="str">
        <f t="shared" si="61"/>
        <v>０００１</v>
      </c>
      <c r="G350" s="2" t="str">
        <f>"3620003442"</f>
        <v>3620003442</v>
      </c>
      <c r="H350" s="2" t="str">
        <f t="shared" si="66"/>
        <v>001</v>
      </c>
      <c r="I350" s="2" t="str">
        <f t="shared" si="62"/>
        <v>4100401</v>
      </c>
      <c r="J350" s="2">
        <f>31400</f>
        <v>31400</v>
      </c>
      <c r="K350" s="2" t="str">
        <f t="shared" si="69"/>
        <v>脚</v>
      </c>
      <c r="L350" s="2" t="str">
        <f t="shared" si="63"/>
        <v>3630331</v>
      </c>
      <c r="M350" s="2" t="str">
        <f>""</f>
        <v/>
      </c>
    </row>
    <row r="351" spans="1:13" x14ac:dyDescent="0.15">
      <c r="A351" s="2" t="str">
        <f t="shared" si="67"/>
        <v>1881110500</v>
      </c>
      <c r="B351" s="2" t="str">
        <f t="shared" si="68"/>
        <v>佐伯・区政調整</v>
      </c>
      <c r="C351" s="2" t="str">
        <f t="shared" si="64"/>
        <v>01ｲ00311</v>
      </c>
      <c r="D351" s="2" t="str">
        <f t="shared" si="65"/>
        <v>肘掛椅子</v>
      </c>
      <c r="E351" s="3" t="str">
        <f t="shared" si="60"/>
        <v>肘付</v>
      </c>
      <c r="F351" s="2" t="str">
        <f t="shared" si="61"/>
        <v>０００１</v>
      </c>
      <c r="G351" s="2" t="str">
        <f>"3620003443"</f>
        <v>3620003443</v>
      </c>
      <c r="H351" s="2" t="str">
        <f t="shared" si="66"/>
        <v>001</v>
      </c>
      <c r="I351" s="2" t="str">
        <f t="shared" si="62"/>
        <v>4100401</v>
      </c>
      <c r="J351" s="2">
        <f>31400</f>
        <v>31400</v>
      </c>
      <c r="K351" s="2" t="str">
        <f t="shared" si="69"/>
        <v>脚</v>
      </c>
      <c r="L351" s="2" t="str">
        <f t="shared" si="63"/>
        <v>3630331</v>
      </c>
      <c r="M351" s="2" t="str">
        <f>""</f>
        <v/>
      </c>
    </row>
    <row r="352" spans="1:13" x14ac:dyDescent="0.15">
      <c r="A352" s="2" t="str">
        <f t="shared" si="67"/>
        <v>1881110500</v>
      </c>
      <c r="B352" s="2" t="str">
        <f t="shared" si="68"/>
        <v>佐伯・区政調整</v>
      </c>
      <c r="C352" s="2" t="str">
        <f t="shared" si="64"/>
        <v>01ｲ00311</v>
      </c>
      <c r="D352" s="2" t="str">
        <f t="shared" si="65"/>
        <v>肘掛椅子</v>
      </c>
      <c r="E352" s="3" t="str">
        <f t="shared" si="60"/>
        <v>肘付</v>
      </c>
      <c r="F352" s="2" t="str">
        <f t="shared" si="61"/>
        <v>０００１</v>
      </c>
      <c r="G352" s="2" t="str">
        <f>"3620003444"</f>
        <v>3620003444</v>
      </c>
      <c r="H352" s="2" t="str">
        <f t="shared" si="66"/>
        <v>001</v>
      </c>
      <c r="I352" s="2" t="str">
        <f t="shared" si="62"/>
        <v>4100401</v>
      </c>
      <c r="J352" s="2">
        <f>31400</f>
        <v>31400</v>
      </c>
      <c r="K352" s="2" t="str">
        <f t="shared" si="69"/>
        <v>脚</v>
      </c>
      <c r="L352" s="2" t="str">
        <f t="shared" si="63"/>
        <v>3630331</v>
      </c>
      <c r="M352" s="2" t="str">
        <f>""</f>
        <v/>
      </c>
    </row>
    <row r="353" spans="1:13" x14ac:dyDescent="0.15">
      <c r="A353" s="2" t="str">
        <f t="shared" si="67"/>
        <v>1881110500</v>
      </c>
      <c r="B353" s="2" t="str">
        <f t="shared" si="68"/>
        <v>佐伯・区政調整</v>
      </c>
      <c r="C353" s="2" t="str">
        <f t="shared" si="64"/>
        <v>01ｲ00311</v>
      </c>
      <c r="D353" s="2" t="str">
        <f t="shared" si="65"/>
        <v>肘掛椅子</v>
      </c>
      <c r="E353" s="3" t="str">
        <f t="shared" si="60"/>
        <v>肘付</v>
      </c>
      <c r="F353" s="2" t="str">
        <f t="shared" si="61"/>
        <v>０００１</v>
      </c>
      <c r="G353" s="2" t="str">
        <f>"3620003445"</f>
        <v>3620003445</v>
      </c>
      <c r="H353" s="2" t="str">
        <f t="shared" si="66"/>
        <v>001</v>
      </c>
      <c r="I353" s="2" t="str">
        <f t="shared" si="62"/>
        <v>4100401</v>
      </c>
      <c r="J353" s="2">
        <f>31400</f>
        <v>31400</v>
      </c>
      <c r="K353" s="2" t="str">
        <f t="shared" si="69"/>
        <v>脚</v>
      </c>
      <c r="L353" s="2" t="str">
        <f t="shared" si="63"/>
        <v>3630331</v>
      </c>
      <c r="M353" s="2" t="str">
        <f>""</f>
        <v/>
      </c>
    </row>
    <row r="354" spans="1:13" x14ac:dyDescent="0.15">
      <c r="A354" s="2" t="str">
        <f t="shared" si="67"/>
        <v>1881110500</v>
      </c>
      <c r="B354" s="2" t="str">
        <f t="shared" si="68"/>
        <v>佐伯・区政調整</v>
      </c>
      <c r="C354" s="2" t="str">
        <f t="shared" si="64"/>
        <v>01ｲ00311</v>
      </c>
      <c r="D354" s="2" t="str">
        <f t="shared" si="65"/>
        <v>肘掛椅子</v>
      </c>
      <c r="E354" s="3" t="str">
        <f t="shared" ref="E354:E417" si="70">"肘付"</f>
        <v>肘付</v>
      </c>
      <c r="F354" s="2" t="str">
        <f t="shared" ref="F354:F417" si="71">"０００１"</f>
        <v>０００１</v>
      </c>
      <c r="G354" s="2" t="str">
        <f>"3620003446"</f>
        <v>3620003446</v>
      </c>
      <c r="H354" s="2" t="str">
        <f t="shared" si="66"/>
        <v>001</v>
      </c>
      <c r="I354" s="2" t="str">
        <f t="shared" ref="I354:I417" si="72">"4100401"</f>
        <v>4100401</v>
      </c>
      <c r="J354" s="2">
        <f>31400</f>
        <v>31400</v>
      </c>
      <c r="K354" s="2" t="str">
        <f t="shared" si="69"/>
        <v>脚</v>
      </c>
      <c r="L354" s="2" t="str">
        <f t="shared" ref="L354:L417" si="73">"3630331"</f>
        <v>3630331</v>
      </c>
      <c r="M354" s="2" t="str">
        <f>""</f>
        <v/>
      </c>
    </row>
    <row r="355" spans="1:13" x14ac:dyDescent="0.15">
      <c r="A355" s="2" t="str">
        <f t="shared" si="67"/>
        <v>1881110500</v>
      </c>
      <c r="B355" s="2" t="str">
        <f t="shared" si="68"/>
        <v>佐伯・区政調整</v>
      </c>
      <c r="C355" s="2" t="str">
        <f t="shared" si="64"/>
        <v>01ｲ00311</v>
      </c>
      <c r="D355" s="2" t="str">
        <f t="shared" si="65"/>
        <v>肘掛椅子</v>
      </c>
      <c r="E355" s="3" t="str">
        <f t="shared" si="70"/>
        <v>肘付</v>
      </c>
      <c r="F355" s="2" t="str">
        <f t="shared" si="71"/>
        <v>０００１</v>
      </c>
      <c r="G355" s="2" t="str">
        <f>"3620003447"</f>
        <v>3620003447</v>
      </c>
      <c r="H355" s="2" t="str">
        <f t="shared" si="66"/>
        <v>001</v>
      </c>
      <c r="I355" s="2" t="str">
        <f t="shared" si="72"/>
        <v>4100401</v>
      </c>
      <c r="J355" s="2">
        <f>31400</f>
        <v>31400</v>
      </c>
      <c r="K355" s="2" t="str">
        <f t="shared" si="69"/>
        <v>脚</v>
      </c>
      <c r="L355" s="2" t="str">
        <f t="shared" si="73"/>
        <v>3630331</v>
      </c>
      <c r="M355" s="2" t="str">
        <f>""</f>
        <v/>
      </c>
    </row>
    <row r="356" spans="1:13" x14ac:dyDescent="0.15">
      <c r="A356" s="2" t="str">
        <f t="shared" si="67"/>
        <v>1881110500</v>
      </c>
      <c r="B356" s="2" t="str">
        <f t="shared" si="68"/>
        <v>佐伯・区政調整</v>
      </c>
      <c r="C356" s="2" t="str">
        <f t="shared" si="64"/>
        <v>01ｲ00311</v>
      </c>
      <c r="D356" s="2" t="str">
        <f t="shared" si="65"/>
        <v>肘掛椅子</v>
      </c>
      <c r="E356" s="3" t="str">
        <f t="shared" si="70"/>
        <v>肘付</v>
      </c>
      <c r="F356" s="2" t="str">
        <f t="shared" si="71"/>
        <v>０００１</v>
      </c>
      <c r="G356" s="2" t="str">
        <f>"3620003448"</f>
        <v>3620003448</v>
      </c>
      <c r="H356" s="2" t="str">
        <f t="shared" si="66"/>
        <v>001</v>
      </c>
      <c r="I356" s="2" t="str">
        <f t="shared" si="72"/>
        <v>4100401</v>
      </c>
      <c r="J356" s="2">
        <f>31400</f>
        <v>31400</v>
      </c>
      <c r="K356" s="2" t="str">
        <f t="shared" si="69"/>
        <v>脚</v>
      </c>
      <c r="L356" s="2" t="str">
        <f t="shared" si="73"/>
        <v>3630331</v>
      </c>
      <c r="M356" s="2" t="str">
        <f>""</f>
        <v/>
      </c>
    </row>
    <row r="357" spans="1:13" x14ac:dyDescent="0.15">
      <c r="A357" s="2" t="str">
        <f t="shared" si="67"/>
        <v>1881110500</v>
      </c>
      <c r="B357" s="2" t="str">
        <f t="shared" si="68"/>
        <v>佐伯・区政調整</v>
      </c>
      <c r="C357" s="2" t="str">
        <f t="shared" si="64"/>
        <v>01ｲ00311</v>
      </c>
      <c r="D357" s="2" t="str">
        <f t="shared" si="65"/>
        <v>肘掛椅子</v>
      </c>
      <c r="E357" s="3" t="str">
        <f t="shared" si="70"/>
        <v>肘付</v>
      </c>
      <c r="F357" s="2" t="str">
        <f t="shared" si="71"/>
        <v>０００１</v>
      </c>
      <c r="G357" s="2" t="str">
        <f>"3620003449"</f>
        <v>3620003449</v>
      </c>
      <c r="H357" s="2" t="str">
        <f t="shared" si="66"/>
        <v>001</v>
      </c>
      <c r="I357" s="2" t="str">
        <f t="shared" si="72"/>
        <v>4100401</v>
      </c>
      <c r="J357" s="2">
        <f>31400</f>
        <v>31400</v>
      </c>
      <c r="K357" s="2" t="str">
        <f t="shared" si="69"/>
        <v>脚</v>
      </c>
      <c r="L357" s="2" t="str">
        <f t="shared" si="73"/>
        <v>3630331</v>
      </c>
      <c r="M357" s="2" t="str">
        <f>""</f>
        <v/>
      </c>
    </row>
    <row r="358" spans="1:13" x14ac:dyDescent="0.15">
      <c r="A358" s="2" t="str">
        <f t="shared" si="67"/>
        <v>1881110500</v>
      </c>
      <c r="B358" s="2" t="str">
        <f t="shared" si="68"/>
        <v>佐伯・区政調整</v>
      </c>
      <c r="C358" s="2" t="str">
        <f t="shared" si="64"/>
        <v>01ｲ00311</v>
      </c>
      <c r="D358" s="2" t="str">
        <f t="shared" si="65"/>
        <v>肘掛椅子</v>
      </c>
      <c r="E358" s="3" t="str">
        <f t="shared" si="70"/>
        <v>肘付</v>
      </c>
      <c r="F358" s="2" t="str">
        <f t="shared" si="71"/>
        <v>０００１</v>
      </c>
      <c r="G358" s="2" t="str">
        <f>"3620003450"</f>
        <v>3620003450</v>
      </c>
      <c r="H358" s="2" t="str">
        <f t="shared" si="66"/>
        <v>001</v>
      </c>
      <c r="I358" s="2" t="str">
        <f t="shared" si="72"/>
        <v>4100401</v>
      </c>
      <c r="J358" s="2">
        <f>31400</f>
        <v>31400</v>
      </c>
      <c r="K358" s="2" t="str">
        <f t="shared" si="69"/>
        <v>脚</v>
      </c>
      <c r="L358" s="2" t="str">
        <f t="shared" si="73"/>
        <v>3630331</v>
      </c>
      <c r="M358" s="2" t="str">
        <f>""</f>
        <v/>
      </c>
    </row>
    <row r="359" spans="1:13" x14ac:dyDescent="0.15">
      <c r="A359" s="2" t="str">
        <f t="shared" si="67"/>
        <v>1881110500</v>
      </c>
      <c r="B359" s="2" t="str">
        <f t="shared" si="68"/>
        <v>佐伯・区政調整</v>
      </c>
      <c r="C359" s="2" t="str">
        <f t="shared" si="64"/>
        <v>01ｲ00311</v>
      </c>
      <c r="D359" s="2" t="str">
        <f t="shared" si="65"/>
        <v>肘掛椅子</v>
      </c>
      <c r="E359" s="3" t="str">
        <f t="shared" si="70"/>
        <v>肘付</v>
      </c>
      <c r="F359" s="2" t="str">
        <f t="shared" si="71"/>
        <v>０００１</v>
      </c>
      <c r="G359" s="2" t="str">
        <f>"3620003451"</f>
        <v>3620003451</v>
      </c>
      <c r="H359" s="2" t="str">
        <f t="shared" si="66"/>
        <v>001</v>
      </c>
      <c r="I359" s="2" t="str">
        <f t="shared" si="72"/>
        <v>4100401</v>
      </c>
      <c r="J359" s="2">
        <f>31400</f>
        <v>31400</v>
      </c>
      <c r="K359" s="2" t="str">
        <f t="shared" si="69"/>
        <v>脚</v>
      </c>
      <c r="L359" s="2" t="str">
        <f t="shared" si="73"/>
        <v>3630331</v>
      </c>
      <c r="M359" s="2" t="str">
        <f>""</f>
        <v/>
      </c>
    </row>
    <row r="360" spans="1:13" x14ac:dyDescent="0.15">
      <c r="A360" s="2" t="str">
        <f t="shared" si="67"/>
        <v>1881110500</v>
      </c>
      <c r="B360" s="2" t="str">
        <f t="shared" si="68"/>
        <v>佐伯・区政調整</v>
      </c>
      <c r="C360" s="2" t="str">
        <f t="shared" si="64"/>
        <v>01ｲ00311</v>
      </c>
      <c r="D360" s="2" t="str">
        <f t="shared" si="65"/>
        <v>肘掛椅子</v>
      </c>
      <c r="E360" s="3" t="str">
        <f t="shared" si="70"/>
        <v>肘付</v>
      </c>
      <c r="F360" s="2" t="str">
        <f t="shared" si="71"/>
        <v>０００１</v>
      </c>
      <c r="G360" s="2" t="str">
        <f>"3620003452"</f>
        <v>3620003452</v>
      </c>
      <c r="H360" s="2" t="str">
        <f t="shared" si="66"/>
        <v>001</v>
      </c>
      <c r="I360" s="2" t="str">
        <f t="shared" si="72"/>
        <v>4100401</v>
      </c>
      <c r="J360" s="2">
        <f>31400</f>
        <v>31400</v>
      </c>
      <c r="K360" s="2" t="str">
        <f t="shared" si="69"/>
        <v>脚</v>
      </c>
      <c r="L360" s="2" t="str">
        <f t="shared" si="73"/>
        <v>3630331</v>
      </c>
      <c r="M360" s="2" t="str">
        <f>""</f>
        <v/>
      </c>
    </row>
    <row r="361" spans="1:13" x14ac:dyDescent="0.15">
      <c r="A361" s="2" t="str">
        <f t="shared" si="67"/>
        <v>1881110500</v>
      </c>
      <c r="B361" s="2" t="str">
        <f t="shared" si="68"/>
        <v>佐伯・区政調整</v>
      </c>
      <c r="C361" s="2" t="str">
        <f t="shared" si="64"/>
        <v>01ｲ00311</v>
      </c>
      <c r="D361" s="2" t="str">
        <f t="shared" si="65"/>
        <v>肘掛椅子</v>
      </c>
      <c r="E361" s="3" t="str">
        <f t="shared" si="70"/>
        <v>肘付</v>
      </c>
      <c r="F361" s="2" t="str">
        <f t="shared" si="71"/>
        <v>０００１</v>
      </c>
      <c r="G361" s="2" t="str">
        <f>"3620003453"</f>
        <v>3620003453</v>
      </c>
      <c r="H361" s="2" t="str">
        <f t="shared" si="66"/>
        <v>001</v>
      </c>
      <c r="I361" s="2" t="str">
        <f t="shared" si="72"/>
        <v>4100401</v>
      </c>
      <c r="J361" s="2">
        <f>31400</f>
        <v>31400</v>
      </c>
      <c r="K361" s="2" t="str">
        <f t="shared" si="69"/>
        <v>脚</v>
      </c>
      <c r="L361" s="2" t="str">
        <f t="shared" si="73"/>
        <v>3630331</v>
      </c>
      <c r="M361" s="2" t="str">
        <f>""</f>
        <v/>
      </c>
    </row>
    <row r="362" spans="1:13" x14ac:dyDescent="0.15">
      <c r="A362" s="2" t="str">
        <f t="shared" si="67"/>
        <v>1881110500</v>
      </c>
      <c r="B362" s="2" t="str">
        <f t="shared" si="68"/>
        <v>佐伯・区政調整</v>
      </c>
      <c r="C362" s="2" t="str">
        <f t="shared" si="64"/>
        <v>01ｲ00311</v>
      </c>
      <c r="D362" s="2" t="str">
        <f t="shared" si="65"/>
        <v>肘掛椅子</v>
      </c>
      <c r="E362" s="3" t="str">
        <f t="shared" si="70"/>
        <v>肘付</v>
      </c>
      <c r="F362" s="2" t="str">
        <f t="shared" si="71"/>
        <v>０００１</v>
      </c>
      <c r="G362" s="2" t="str">
        <f>"3620003454"</f>
        <v>3620003454</v>
      </c>
      <c r="H362" s="2" t="str">
        <f t="shared" si="66"/>
        <v>001</v>
      </c>
      <c r="I362" s="2" t="str">
        <f t="shared" si="72"/>
        <v>4100401</v>
      </c>
      <c r="J362" s="2">
        <f>31400</f>
        <v>31400</v>
      </c>
      <c r="K362" s="2" t="str">
        <f t="shared" si="69"/>
        <v>脚</v>
      </c>
      <c r="L362" s="2" t="str">
        <f t="shared" si="73"/>
        <v>3630331</v>
      </c>
      <c r="M362" s="2" t="str">
        <f>""</f>
        <v/>
      </c>
    </row>
    <row r="363" spans="1:13" x14ac:dyDescent="0.15">
      <c r="A363" s="2" t="str">
        <f t="shared" si="67"/>
        <v>1881110500</v>
      </c>
      <c r="B363" s="2" t="str">
        <f t="shared" si="68"/>
        <v>佐伯・区政調整</v>
      </c>
      <c r="C363" s="2" t="str">
        <f t="shared" si="64"/>
        <v>01ｲ00311</v>
      </c>
      <c r="D363" s="2" t="str">
        <f t="shared" si="65"/>
        <v>肘掛椅子</v>
      </c>
      <c r="E363" s="3" t="str">
        <f t="shared" si="70"/>
        <v>肘付</v>
      </c>
      <c r="F363" s="2" t="str">
        <f t="shared" si="71"/>
        <v>０００１</v>
      </c>
      <c r="G363" s="2" t="str">
        <f>"3620003455"</f>
        <v>3620003455</v>
      </c>
      <c r="H363" s="2" t="str">
        <f t="shared" si="66"/>
        <v>001</v>
      </c>
      <c r="I363" s="2" t="str">
        <f t="shared" si="72"/>
        <v>4100401</v>
      </c>
      <c r="J363" s="2">
        <f>31400</f>
        <v>31400</v>
      </c>
      <c r="K363" s="2" t="str">
        <f t="shared" si="69"/>
        <v>脚</v>
      </c>
      <c r="L363" s="2" t="str">
        <f t="shared" si="73"/>
        <v>3630331</v>
      </c>
      <c r="M363" s="2" t="str">
        <f>""</f>
        <v/>
      </c>
    </row>
    <row r="364" spans="1:13" x14ac:dyDescent="0.15">
      <c r="A364" s="2" t="str">
        <f t="shared" si="67"/>
        <v>1881110500</v>
      </c>
      <c r="B364" s="2" t="str">
        <f t="shared" si="68"/>
        <v>佐伯・区政調整</v>
      </c>
      <c r="C364" s="2" t="str">
        <f t="shared" si="64"/>
        <v>01ｲ00311</v>
      </c>
      <c r="D364" s="2" t="str">
        <f t="shared" si="65"/>
        <v>肘掛椅子</v>
      </c>
      <c r="E364" s="3" t="str">
        <f t="shared" si="70"/>
        <v>肘付</v>
      </c>
      <c r="F364" s="2" t="str">
        <f t="shared" si="71"/>
        <v>０００１</v>
      </c>
      <c r="G364" s="2" t="str">
        <f>"3620003456"</f>
        <v>3620003456</v>
      </c>
      <c r="H364" s="2" t="str">
        <f t="shared" si="66"/>
        <v>001</v>
      </c>
      <c r="I364" s="2" t="str">
        <f t="shared" si="72"/>
        <v>4100401</v>
      </c>
      <c r="J364" s="2">
        <f>31400</f>
        <v>31400</v>
      </c>
      <c r="K364" s="2" t="str">
        <f t="shared" si="69"/>
        <v>脚</v>
      </c>
      <c r="L364" s="2" t="str">
        <f t="shared" si="73"/>
        <v>3630331</v>
      </c>
      <c r="M364" s="2" t="str">
        <f>""</f>
        <v/>
      </c>
    </row>
    <row r="365" spans="1:13" x14ac:dyDescent="0.15">
      <c r="A365" s="2" t="str">
        <f t="shared" si="67"/>
        <v>1881110500</v>
      </c>
      <c r="B365" s="2" t="str">
        <f t="shared" si="68"/>
        <v>佐伯・区政調整</v>
      </c>
      <c r="C365" s="2" t="str">
        <f t="shared" si="64"/>
        <v>01ｲ00311</v>
      </c>
      <c r="D365" s="2" t="str">
        <f t="shared" si="65"/>
        <v>肘掛椅子</v>
      </c>
      <c r="E365" s="3" t="str">
        <f t="shared" si="70"/>
        <v>肘付</v>
      </c>
      <c r="F365" s="2" t="str">
        <f t="shared" si="71"/>
        <v>０００１</v>
      </c>
      <c r="G365" s="2" t="str">
        <f>"3620003457"</f>
        <v>3620003457</v>
      </c>
      <c r="H365" s="2" t="str">
        <f t="shared" si="66"/>
        <v>001</v>
      </c>
      <c r="I365" s="2" t="str">
        <f t="shared" si="72"/>
        <v>4100401</v>
      </c>
      <c r="J365" s="2">
        <f>31400</f>
        <v>31400</v>
      </c>
      <c r="K365" s="2" t="str">
        <f t="shared" si="69"/>
        <v>脚</v>
      </c>
      <c r="L365" s="2" t="str">
        <f t="shared" si="73"/>
        <v>3630331</v>
      </c>
      <c r="M365" s="2" t="str">
        <f>""</f>
        <v/>
      </c>
    </row>
    <row r="366" spans="1:13" x14ac:dyDescent="0.15">
      <c r="A366" s="2" t="str">
        <f t="shared" si="67"/>
        <v>1881110500</v>
      </c>
      <c r="B366" s="2" t="str">
        <f t="shared" si="68"/>
        <v>佐伯・区政調整</v>
      </c>
      <c r="C366" s="2" t="str">
        <f t="shared" si="64"/>
        <v>01ｲ00311</v>
      </c>
      <c r="D366" s="2" t="str">
        <f t="shared" si="65"/>
        <v>肘掛椅子</v>
      </c>
      <c r="E366" s="3" t="str">
        <f t="shared" si="70"/>
        <v>肘付</v>
      </c>
      <c r="F366" s="2" t="str">
        <f t="shared" si="71"/>
        <v>０００１</v>
      </c>
      <c r="G366" s="2" t="str">
        <f>"3620003458"</f>
        <v>3620003458</v>
      </c>
      <c r="H366" s="2" t="str">
        <f t="shared" si="66"/>
        <v>001</v>
      </c>
      <c r="I366" s="2" t="str">
        <f t="shared" si="72"/>
        <v>4100401</v>
      </c>
      <c r="J366" s="2">
        <f>31400</f>
        <v>31400</v>
      </c>
      <c r="K366" s="2" t="str">
        <f t="shared" si="69"/>
        <v>脚</v>
      </c>
      <c r="L366" s="2" t="str">
        <f t="shared" si="73"/>
        <v>3630331</v>
      </c>
      <c r="M366" s="2" t="str">
        <f>""</f>
        <v/>
      </c>
    </row>
    <row r="367" spans="1:13" x14ac:dyDescent="0.15">
      <c r="A367" s="2" t="str">
        <f t="shared" si="67"/>
        <v>1881110500</v>
      </c>
      <c r="B367" s="2" t="str">
        <f t="shared" si="68"/>
        <v>佐伯・区政調整</v>
      </c>
      <c r="C367" s="2" t="str">
        <f t="shared" si="64"/>
        <v>01ｲ00311</v>
      </c>
      <c r="D367" s="2" t="str">
        <f t="shared" si="65"/>
        <v>肘掛椅子</v>
      </c>
      <c r="E367" s="3" t="str">
        <f t="shared" si="70"/>
        <v>肘付</v>
      </c>
      <c r="F367" s="2" t="str">
        <f t="shared" si="71"/>
        <v>０００１</v>
      </c>
      <c r="G367" s="2" t="str">
        <f>"3620003459"</f>
        <v>3620003459</v>
      </c>
      <c r="H367" s="2" t="str">
        <f t="shared" si="66"/>
        <v>001</v>
      </c>
      <c r="I367" s="2" t="str">
        <f t="shared" si="72"/>
        <v>4100401</v>
      </c>
      <c r="J367" s="2">
        <f>31400</f>
        <v>31400</v>
      </c>
      <c r="K367" s="2" t="str">
        <f t="shared" si="69"/>
        <v>脚</v>
      </c>
      <c r="L367" s="2" t="str">
        <f t="shared" si="73"/>
        <v>3630331</v>
      </c>
      <c r="M367" s="2" t="str">
        <f>""</f>
        <v/>
      </c>
    </row>
    <row r="368" spans="1:13" x14ac:dyDescent="0.15">
      <c r="A368" s="2" t="str">
        <f t="shared" si="67"/>
        <v>1881110500</v>
      </c>
      <c r="B368" s="2" t="str">
        <f t="shared" si="68"/>
        <v>佐伯・区政調整</v>
      </c>
      <c r="C368" s="2" t="str">
        <f t="shared" si="64"/>
        <v>01ｲ00311</v>
      </c>
      <c r="D368" s="2" t="str">
        <f t="shared" si="65"/>
        <v>肘掛椅子</v>
      </c>
      <c r="E368" s="3" t="str">
        <f t="shared" si="70"/>
        <v>肘付</v>
      </c>
      <c r="F368" s="2" t="str">
        <f t="shared" si="71"/>
        <v>０００１</v>
      </c>
      <c r="G368" s="2" t="str">
        <f>"3620003460"</f>
        <v>3620003460</v>
      </c>
      <c r="H368" s="2" t="str">
        <f t="shared" si="66"/>
        <v>001</v>
      </c>
      <c r="I368" s="2" t="str">
        <f t="shared" si="72"/>
        <v>4100401</v>
      </c>
      <c r="J368" s="2">
        <f>31400</f>
        <v>31400</v>
      </c>
      <c r="K368" s="2" t="str">
        <f t="shared" si="69"/>
        <v>脚</v>
      </c>
      <c r="L368" s="2" t="str">
        <f t="shared" si="73"/>
        <v>3630331</v>
      </c>
      <c r="M368" s="2" t="str">
        <f>""</f>
        <v/>
      </c>
    </row>
    <row r="369" spans="1:13" x14ac:dyDescent="0.15">
      <c r="A369" s="2" t="str">
        <f t="shared" si="67"/>
        <v>1881110500</v>
      </c>
      <c r="B369" s="2" t="str">
        <f t="shared" si="68"/>
        <v>佐伯・区政調整</v>
      </c>
      <c r="C369" s="2" t="str">
        <f t="shared" si="64"/>
        <v>01ｲ00311</v>
      </c>
      <c r="D369" s="2" t="str">
        <f t="shared" si="65"/>
        <v>肘掛椅子</v>
      </c>
      <c r="E369" s="3" t="str">
        <f t="shared" si="70"/>
        <v>肘付</v>
      </c>
      <c r="F369" s="2" t="str">
        <f t="shared" si="71"/>
        <v>０００１</v>
      </c>
      <c r="G369" s="2" t="str">
        <f>"3620003461"</f>
        <v>3620003461</v>
      </c>
      <c r="H369" s="2" t="str">
        <f t="shared" si="66"/>
        <v>001</v>
      </c>
      <c r="I369" s="2" t="str">
        <f t="shared" si="72"/>
        <v>4100401</v>
      </c>
      <c r="J369" s="2">
        <f>31400</f>
        <v>31400</v>
      </c>
      <c r="K369" s="2" t="str">
        <f t="shared" si="69"/>
        <v>脚</v>
      </c>
      <c r="L369" s="2" t="str">
        <f t="shared" si="73"/>
        <v>3630331</v>
      </c>
      <c r="M369" s="2" t="str">
        <f>""</f>
        <v/>
      </c>
    </row>
    <row r="370" spans="1:13" x14ac:dyDescent="0.15">
      <c r="A370" s="2" t="str">
        <f t="shared" si="67"/>
        <v>1881110500</v>
      </c>
      <c r="B370" s="2" t="str">
        <f t="shared" si="68"/>
        <v>佐伯・区政調整</v>
      </c>
      <c r="C370" s="2" t="str">
        <f t="shared" si="64"/>
        <v>01ｲ00311</v>
      </c>
      <c r="D370" s="2" t="str">
        <f t="shared" si="65"/>
        <v>肘掛椅子</v>
      </c>
      <c r="E370" s="3" t="str">
        <f t="shared" si="70"/>
        <v>肘付</v>
      </c>
      <c r="F370" s="2" t="str">
        <f t="shared" si="71"/>
        <v>０００１</v>
      </c>
      <c r="G370" s="2" t="str">
        <f>"3620003462"</f>
        <v>3620003462</v>
      </c>
      <c r="H370" s="2" t="str">
        <f t="shared" si="66"/>
        <v>001</v>
      </c>
      <c r="I370" s="2" t="str">
        <f t="shared" si="72"/>
        <v>4100401</v>
      </c>
      <c r="J370" s="2">
        <f>31400</f>
        <v>31400</v>
      </c>
      <c r="K370" s="2" t="str">
        <f t="shared" si="69"/>
        <v>脚</v>
      </c>
      <c r="L370" s="2" t="str">
        <f t="shared" si="73"/>
        <v>3630331</v>
      </c>
      <c r="M370" s="2" t="str">
        <f>""</f>
        <v/>
      </c>
    </row>
    <row r="371" spans="1:13" x14ac:dyDescent="0.15">
      <c r="A371" s="2" t="str">
        <f t="shared" si="67"/>
        <v>1881110500</v>
      </c>
      <c r="B371" s="2" t="str">
        <f t="shared" si="68"/>
        <v>佐伯・区政調整</v>
      </c>
      <c r="C371" s="2" t="str">
        <f t="shared" si="64"/>
        <v>01ｲ00311</v>
      </c>
      <c r="D371" s="2" t="str">
        <f t="shared" si="65"/>
        <v>肘掛椅子</v>
      </c>
      <c r="E371" s="3" t="str">
        <f t="shared" si="70"/>
        <v>肘付</v>
      </c>
      <c r="F371" s="2" t="str">
        <f t="shared" si="71"/>
        <v>０００１</v>
      </c>
      <c r="G371" s="2" t="str">
        <f>"3620003463"</f>
        <v>3620003463</v>
      </c>
      <c r="H371" s="2" t="str">
        <f t="shared" si="66"/>
        <v>001</v>
      </c>
      <c r="I371" s="2" t="str">
        <f t="shared" si="72"/>
        <v>4100401</v>
      </c>
      <c r="J371" s="2">
        <f>31400</f>
        <v>31400</v>
      </c>
      <c r="K371" s="2" t="str">
        <f t="shared" si="69"/>
        <v>脚</v>
      </c>
      <c r="L371" s="2" t="str">
        <f t="shared" si="73"/>
        <v>3630331</v>
      </c>
      <c r="M371" s="2" t="str">
        <f>""</f>
        <v/>
      </c>
    </row>
    <row r="372" spans="1:13" x14ac:dyDescent="0.15">
      <c r="A372" s="2" t="str">
        <f t="shared" si="67"/>
        <v>1881110500</v>
      </c>
      <c r="B372" s="2" t="str">
        <f t="shared" si="68"/>
        <v>佐伯・区政調整</v>
      </c>
      <c r="C372" s="2" t="str">
        <f t="shared" si="64"/>
        <v>01ｲ00311</v>
      </c>
      <c r="D372" s="2" t="str">
        <f t="shared" si="65"/>
        <v>肘掛椅子</v>
      </c>
      <c r="E372" s="3" t="str">
        <f t="shared" si="70"/>
        <v>肘付</v>
      </c>
      <c r="F372" s="2" t="str">
        <f t="shared" si="71"/>
        <v>０００１</v>
      </c>
      <c r="G372" s="2" t="str">
        <f>"3620003464"</f>
        <v>3620003464</v>
      </c>
      <c r="H372" s="2" t="str">
        <f t="shared" si="66"/>
        <v>001</v>
      </c>
      <c r="I372" s="2" t="str">
        <f t="shared" si="72"/>
        <v>4100401</v>
      </c>
      <c r="J372" s="2">
        <f>31400</f>
        <v>31400</v>
      </c>
      <c r="K372" s="2" t="str">
        <f t="shared" si="69"/>
        <v>脚</v>
      </c>
      <c r="L372" s="2" t="str">
        <f t="shared" si="73"/>
        <v>3630331</v>
      </c>
      <c r="M372" s="2" t="str">
        <f>""</f>
        <v/>
      </c>
    </row>
    <row r="373" spans="1:13" x14ac:dyDescent="0.15">
      <c r="A373" s="2" t="str">
        <f t="shared" si="67"/>
        <v>1881110500</v>
      </c>
      <c r="B373" s="2" t="str">
        <f t="shared" si="68"/>
        <v>佐伯・区政調整</v>
      </c>
      <c r="C373" s="2" t="str">
        <f t="shared" si="64"/>
        <v>01ｲ00311</v>
      </c>
      <c r="D373" s="2" t="str">
        <f t="shared" si="65"/>
        <v>肘掛椅子</v>
      </c>
      <c r="E373" s="3" t="str">
        <f t="shared" si="70"/>
        <v>肘付</v>
      </c>
      <c r="F373" s="2" t="str">
        <f t="shared" si="71"/>
        <v>０００１</v>
      </c>
      <c r="G373" s="2" t="str">
        <f>"3620003465"</f>
        <v>3620003465</v>
      </c>
      <c r="H373" s="2" t="str">
        <f t="shared" si="66"/>
        <v>001</v>
      </c>
      <c r="I373" s="2" t="str">
        <f t="shared" si="72"/>
        <v>4100401</v>
      </c>
      <c r="J373" s="2">
        <f>31400</f>
        <v>31400</v>
      </c>
      <c r="K373" s="2" t="str">
        <f t="shared" si="69"/>
        <v>脚</v>
      </c>
      <c r="L373" s="2" t="str">
        <f t="shared" si="73"/>
        <v>3630331</v>
      </c>
      <c r="M373" s="2" t="str">
        <f>""</f>
        <v/>
      </c>
    </row>
    <row r="374" spans="1:13" x14ac:dyDescent="0.15">
      <c r="A374" s="2" t="str">
        <f t="shared" si="67"/>
        <v>1881110500</v>
      </c>
      <c r="B374" s="2" t="str">
        <f t="shared" si="68"/>
        <v>佐伯・区政調整</v>
      </c>
      <c r="C374" s="2" t="str">
        <f t="shared" si="64"/>
        <v>01ｲ00311</v>
      </c>
      <c r="D374" s="2" t="str">
        <f t="shared" si="65"/>
        <v>肘掛椅子</v>
      </c>
      <c r="E374" s="3" t="str">
        <f t="shared" si="70"/>
        <v>肘付</v>
      </c>
      <c r="F374" s="2" t="str">
        <f t="shared" si="71"/>
        <v>０００１</v>
      </c>
      <c r="G374" s="2" t="str">
        <f>"3620003466"</f>
        <v>3620003466</v>
      </c>
      <c r="H374" s="2" t="str">
        <f t="shared" si="66"/>
        <v>001</v>
      </c>
      <c r="I374" s="2" t="str">
        <f t="shared" si="72"/>
        <v>4100401</v>
      </c>
      <c r="J374" s="2">
        <f>31400</f>
        <v>31400</v>
      </c>
      <c r="K374" s="2" t="str">
        <f t="shared" si="69"/>
        <v>脚</v>
      </c>
      <c r="L374" s="2" t="str">
        <f t="shared" si="73"/>
        <v>3630331</v>
      </c>
      <c r="M374" s="2" t="str">
        <f>""</f>
        <v/>
      </c>
    </row>
    <row r="375" spans="1:13" x14ac:dyDescent="0.15">
      <c r="A375" s="2" t="str">
        <f t="shared" si="67"/>
        <v>1881110500</v>
      </c>
      <c r="B375" s="2" t="str">
        <f t="shared" si="68"/>
        <v>佐伯・区政調整</v>
      </c>
      <c r="C375" s="2" t="str">
        <f t="shared" si="64"/>
        <v>01ｲ00311</v>
      </c>
      <c r="D375" s="2" t="str">
        <f t="shared" si="65"/>
        <v>肘掛椅子</v>
      </c>
      <c r="E375" s="3" t="str">
        <f t="shared" si="70"/>
        <v>肘付</v>
      </c>
      <c r="F375" s="2" t="str">
        <f t="shared" si="71"/>
        <v>０００１</v>
      </c>
      <c r="G375" s="2" t="str">
        <f>"3620003467"</f>
        <v>3620003467</v>
      </c>
      <c r="H375" s="2" t="str">
        <f t="shared" si="66"/>
        <v>001</v>
      </c>
      <c r="I375" s="2" t="str">
        <f t="shared" si="72"/>
        <v>4100401</v>
      </c>
      <c r="J375" s="2">
        <f>31400</f>
        <v>31400</v>
      </c>
      <c r="K375" s="2" t="str">
        <f t="shared" si="69"/>
        <v>脚</v>
      </c>
      <c r="L375" s="2" t="str">
        <f t="shared" si="73"/>
        <v>3630331</v>
      </c>
      <c r="M375" s="2" t="str">
        <f>""</f>
        <v/>
      </c>
    </row>
    <row r="376" spans="1:13" x14ac:dyDescent="0.15">
      <c r="A376" s="2" t="str">
        <f t="shared" si="67"/>
        <v>1881110500</v>
      </c>
      <c r="B376" s="2" t="str">
        <f t="shared" si="68"/>
        <v>佐伯・区政調整</v>
      </c>
      <c r="C376" s="2" t="str">
        <f t="shared" si="64"/>
        <v>01ｲ00311</v>
      </c>
      <c r="D376" s="2" t="str">
        <f t="shared" si="65"/>
        <v>肘掛椅子</v>
      </c>
      <c r="E376" s="3" t="str">
        <f t="shared" si="70"/>
        <v>肘付</v>
      </c>
      <c r="F376" s="2" t="str">
        <f t="shared" si="71"/>
        <v>０００１</v>
      </c>
      <c r="G376" s="2" t="str">
        <f>"3620003468"</f>
        <v>3620003468</v>
      </c>
      <c r="H376" s="2" t="str">
        <f t="shared" si="66"/>
        <v>001</v>
      </c>
      <c r="I376" s="2" t="str">
        <f t="shared" si="72"/>
        <v>4100401</v>
      </c>
      <c r="J376" s="2">
        <f>31400</f>
        <v>31400</v>
      </c>
      <c r="K376" s="2" t="str">
        <f t="shared" si="69"/>
        <v>脚</v>
      </c>
      <c r="L376" s="2" t="str">
        <f t="shared" si="73"/>
        <v>3630331</v>
      </c>
      <c r="M376" s="2" t="str">
        <f>""</f>
        <v/>
      </c>
    </row>
    <row r="377" spans="1:13" x14ac:dyDescent="0.15">
      <c r="A377" s="2" t="str">
        <f t="shared" si="67"/>
        <v>1881110500</v>
      </c>
      <c r="B377" s="2" t="str">
        <f t="shared" si="68"/>
        <v>佐伯・区政調整</v>
      </c>
      <c r="C377" s="2" t="str">
        <f t="shared" si="64"/>
        <v>01ｲ00311</v>
      </c>
      <c r="D377" s="2" t="str">
        <f t="shared" si="65"/>
        <v>肘掛椅子</v>
      </c>
      <c r="E377" s="3" t="str">
        <f t="shared" si="70"/>
        <v>肘付</v>
      </c>
      <c r="F377" s="2" t="str">
        <f t="shared" si="71"/>
        <v>０００１</v>
      </c>
      <c r="G377" s="2" t="str">
        <f>"3620003469"</f>
        <v>3620003469</v>
      </c>
      <c r="H377" s="2" t="str">
        <f t="shared" si="66"/>
        <v>001</v>
      </c>
      <c r="I377" s="2" t="str">
        <f t="shared" si="72"/>
        <v>4100401</v>
      </c>
      <c r="J377" s="2">
        <f>31400</f>
        <v>31400</v>
      </c>
      <c r="K377" s="2" t="str">
        <f t="shared" si="69"/>
        <v>脚</v>
      </c>
      <c r="L377" s="2" t="str">
        <f t="shared" si="73"/>
        <v>3630331</v>
      </c>
      <c r="M377" s="2" t="str">
        <f>""</f>
        <v/>
      </c>
    </row>
    <row r="378" spans="1:13" x14ac:dyDescent="0.15">
      <c r="A378" s="2" t="str">
        <f t="shared" si="67"/>
        <v>1881110500</v>
      </c>
      <c r="B378" s="2" t="str">
        <f t="shared" si="68"/>
        <v>佐伯・区政調整</v>
      </c>
      <c r="C378" s="2" t="str">
        <f t="shared" si="64"/>
        <v>01ｲ00311</v>
      </c>
      <c r="D378" s="2" t="str">
        <f t="shared" si="65"/>
        <v>肘掛椅子</v>
      </c>
      <c r="E378" s="3" t="str">
        <f t="shared" si="70"/>
        <v>肘付</v>
      </c>
      <c r="F378" s="2" t="str">
        <f t="shared" si="71"/>
        <v>０００１</v>
      </c>
      <c r="G378" s="2" t="str">
        <f>"3620003470"</f>
        <v>3620003470</v>
      </c>
      <c r="H378" s="2" t="str">
        <f t="shared" si="66"/>
        <v>001</v>
      </c>
      <c r="I378" s="2" t="str">
        <f t="shared" si="72"/>
        <v>4100401</v>
      </c>
      <c r="J378" s="2">
        <f>31400</f>
        <v>31400</v>
      </c>
      <c r="K378" s="2" t="str">
        <f t="shared" si="69"/>
        <v>脚</v>
      </c>
      <c r="L378" s="2" t="str">
        <f t="shared" si="73"/>
        <v>3630331</v>
      </c>
      <c r="M378" s="2" t="str">
        <f>""</f>
        <v/>
      </c>
    </row>
    <row r="379" spans="1:13" x14ac:dyDescent="0.15">
      <c r="A379" s="2" t="str">
        <f t="shared" si="67"/>
        <v>1881110500</v>
      </c>
      <c r="B379" s="2" t="str">
        <f t="shared" si="68"/>
        <v>佐伯・区政調整</v>
      </c>
      <c r="C379" s="2" t="str">
        <f t="shared" si="64"/>
        <v>01ｲ00311</v>
      </c>
      <c r="D379" s="2" t="str">
        <f t="shared" si="65"/>
        <v>肘掛椅子</v>
      </c>
      <c r="E379" s="3" t="str">
        <f t="shared" si="70"/>
        <v>肘付</v>
      </c>
      <c r="F379" s="2" t="str">
        <f t="shared" si="71"/>
        <v>０００１</v>
      </c>
      <c r="G379" s="2" t="str">
        <f>"3620003471"</f>
        <v>3620003471</v>
      </c>
      <c r="H379" s="2" t="str">
        <f t="shared" si="66"/>
        <v>001</v>
      </c>
      <c r="I379" s="2" t="str">
        <f t="shared" si="72"/>
        <v>4100401</v>
      </c>
      <c r="J379" s="2">
        <f>31400</f>
        <v>31400</v>
      </c>
      <c r="K379" s="2" t="str">
        <f t="shared" si="69"/>
        <v>脚</v>
      </c>
      <c r="L379" s="2" t="str">
        <f t="shared" si="73"/>
        <v>3630331</v>
      </c>
      <c r="M379" s="2" t="str">
        <f>""</f>
        <v/>
      </c>
    </row>
    <row r="380" spans="1:13" x14ac:dyDescent="0.15">
      <c r="A380" s="2" t="str">
        <f t="shared" si="67"/>
        <v>1881110500</v>
      </c>
      <c r="B380" s="2" t="str">
        <f t="shared" si="68"/>
        <v>佐伯・区政調整</v>
      </c>
      <c r="C380" s="2" t="str">
        <f t="shared" si="64"/>
        <v>01ｲ00311</v>
      </c>
      <c r="D380" s="2" t="str">
        <f t="shared" si="65"/>
        <v>肘掛椅子</v>
      </c>
      <c r="E380" s="3" t="str">
        <f t="shared" si="70"/>
        <v>肘付</v>
      </c>
      <c r="F380" s="2" t="str">
        <f t="shared" si="71"/>
        <v>０００１</v>
      </c>
      <c r="G380" s="2" t="str">
        <f>"3620003472"</f>
        <v>3620003472</v>
      </c>
      <c r="H380" s="2" t="str">
        <f t="shared" si="66"/>
        <v>001</v>
      </c>
      <c r="I380" s="2" t="str">
        <f t="shared" si="72"/>
        <v>4100401</v>
      </c>
      <c r="J380" s="2">
        <f>31400</f>
        <v>31400</v>
      </c>
      <c r="K380" s="2" t="str">
        <f t="shared" si="69"/>
        <v>脚</v>
      </c>
      <c r="L380" s="2" t="str">
        <f t="shared" si="73"/>
        <v>3630331</v>
      </c>
      <c r="M380" s="2" t="str">
        <f>""</f>
        <v/>
      </c>
    </row>
    <row r="381" spans="1:13" x14ac:dyDescent="0.15">
      <c r="A381" s="2" t="str">
        <f t="shared" si="67"/>
        <v>1881110500</v>
      </c>
      <c r="B381" s="2" t="str">
        <f t="shared" si="68"/>
        <v>佐伯・区政調整</v>
      </c>
      <c r="C381" s="2" t="str">
        <f t="shared" si="64"/>
        <v>01ｲ00311</v>
      </c>
      <c r="D381" s="2" t="str">
        <f t="shared" si="65"/>
        <v>肘掛椅子</v>
      </c>
      <c r="E381" s="3" t="str">
        <f t="shared" si="70"/>
        <v>肘付</v>
      </c>
      <c r="F381" s="2" t="str">
        <f t="shared" si="71"/>
        <v>０００１</v>
      </c>
      <c r="G381" s="2" t="str">
        <f>"3620003473"</f>
        <v>3620003473</v>
      </c>
      <c r="H381" s="2" t="str">
        <f t="shared" si="66"/>
        <v>001</v>
      </c>
      <c r="I381" s="2" t="str">
        <f t="shared" si="72"/>
        <v>4100401</v>
      </c>
      <c r="J381" s="2">
        <f>31400</f>
        <v>31400</v>
      </c>
      <c r="K381" s="2" t="str">
        <f t="shared" si="69"/>
        <v>脚</v>
      </c>
      <c r="L381" s="2" t="str">
        <f t="shared" si="73"/>
        <v>3630331</v>
      </c>
      <c r="M381" s="2" t="str">
        <f>""</f>
        <v/>
      </c>
    </row>
    <row r="382" spans="1:13" x14ac:dyDescent="0.15">
      <c r="A382" s="2" t="str">
        <f t="shared" si="67"/>
        <v>1881110500</v>
      </c>
      <c r="B382" s="2" t="str">
        <f t="shared" si="68"/>
        <v>佐伯・区政調整</v>
      </c>
      <c r="C382" s="2" t="str">
        <f t="shared" si="64"/>
        <v>01ｲ00311</v>
      </c>
      <c r="D382" s="2" t="str">
        <f t="shared" si="65"/>
        <v>肘掛椅子</v>
      </c>
      <c r="E382" s="3" t="str">
        <f t="shared" si="70"/>
        <v>肘付</v>
      </c>
      <c r="F382" s="2" t="str">
        <f t="shared" si="71"/>
        <v>０００１</v>
      </c>
      <c r="G382" s="2" t="str">
        <f>"3620003474"</f>
        <v>3620003474</v>
      </c>
      <c r="H382" s="2" t="str">
        <f t="shared" si="66"/>
        <v>001</v>
      </c>
      <c r="I382" s="2" t="str">
        <f t="shared" si="72"/>
        <v>4100401</v>
      </c>
      <c r="J382" s="2">
        <f>31400</f>
        <v>31400</v>
      </c>
      <c r="K382" s="2" t="str">
        <f t="shared" si="69"/>
        <v>脚</v>
      </c>
      <c r="L382" s="2" t="str">
        <f t="shared" si="73"/>
        <v>3630331</v>
      </c>
      <c r="M382" s="2" t="str">
        <f>""</f>
        <v/>
      </c>
    </row>
    <row r="383" spans="1:13" x14ac:dyDescent="0.15">
      <c r="A383" s="2" t="str">
        <f t="shared" si="67"/>
        <v>1881110500</v>
      </c>
      <c r="B383" s="2" t="str">
        <f t="shared" si="68"/>
        <v>佐伯・区政調整</v>
      </c>
      <c r="C383" s="2" t="str">
        <f t="shared" si="64"/>
        <v>01ｲ00311</v>
      </c>
      <c r="D383" s="2" t="str">
        <f t="shared" si="65"/>
        <v>肘掛椅子</v>
      </c>
      <c r="E383" s="3" t="str">
        <f t="shared" si="70"/>
        <v>肘付</v>
      </c>
      <c r="F383" s="2" t="str">
        <f t="shared" si="71"/>
        <v>０００１</v>
      </c>
      <c r="G383" s="2" t="str">
        <f>"3620003475"</f>
        <v>3620003475</v>
      </c>
      <c r="H383" s="2" t="str">
        <f t="shared" si="66"/>
        <v>001</v>
      </c>
      <c r="I383" s="2" t="str">
        <f t="shared" si="72"/>
        <v>4100401</v>
      </c>
      <c r="J383" s="2">
        <f>31400</f>
        <v>31400</v>
      </c>
      <c r="K383" s="2" t="str">
        <f t="shared" si="69"/>
        <v>脚</v>
      </c>
      <c r="L383" s="2" t="str">
        <f t="shared" si="73"/>
        <v>3630331</v>
      </c>
      <c r="M383" s="2" t="str">
        <f>""</f>
        <v/>
      </c>
    </row>
    <row r="384" spans="1:13" x14ac:dyDescent="0.15">
      <c r="A384" s="2" t="str">
        <f t="shared" si="67"/>
        <v>1881110500</v>
      </c>
      <c r="B384" s="2" t="str">
        <f t="shared" si="68"/>
        <v>佐伯・区政調整</v>
      </c>
      <c r="C384" s="2" t="str">
        <f t="shared" si="64"/>
        <v>01ｲ00311</v>
      </c>
      <c r="D384" s="2" t="str">
        <f t="shared" si="65"/>
        <v>肘掛椅子</v>
      </c>
      <c r="E384" s="3" t="str">
        <f t="shared" si="70"/>
        <v>肘付</v>
      </c>
      <c r="F384" s="2" t="str">
        <f t="shared" si="71"/>
        <v>０００１</v>
      </c>
      <c r="G384" s="2" t="str">
        <f>"3620003476"</f>
        <v>3620003476</v>
      </c>
      <c r="H384" s="2" t="str">
        <f t="shared" si="66"/>
        <v>001</v>
      </c>
      <c r="I384" s="2" t="str">
        <f t="shared" si="72"/>
        <v>4100401</v>
      </c>
      <c r="J384" s="2">
        <f>31400</f>
        <v>31400</v>
      </c>
      <c r="K384" s="2" t="str">
        <f t="shared" si="69"/>
        <v>脚</v>
      </c>
      <c r="L384" s="2" t="str">
        <f t="shared" si="73"/>
        <v>3630331</v>
      </c>
      <c r="M384" s="2" t="str">
        <f>""</f>
        <v/>
      </c>
    </row>
    <row r="385" spans="1:13" x14ac:dyDescent="0.15">
      <c r="A385" s="2" t="str">
        <f t="shared" si="67"/>
        <v>1881110500</v>
      </c>
      <c r="B385" s="2" t="str">
        <f t="shared" si="68"/>
        <v>佐伯・区政調整</v>
      </c>
      <c r="C385" s="2" t="str">
        <f t="shared" si="64"/>
        <v>01ｲ00311</v>
      </c>
      <c r="D385" s="2" t="str">
        <f t="shared" si="65"/>
        <v>肘掛椅子</v>
      </c>
      <c r="E385" s="3" t="str">
        <f t="shared" si="70"/>
        <v>肘付</v>
      </c>
      <c r="F385" s="2" t="str">
        <f t="shared" si="71"/>
        <v>０００１</v>
      </c>
      <c r="G385" s="2" t="str">
        <f>"3620003477"</f>
        <v>3620003477</v>
      </c>
      <c r="H385" s="2" t="str">
        <f t="shared" si="66"/>
        <v>001</v>
      </c>
      <c r="I385" s="2" t="str">
        <f t="shared" si="72"/>
        <v>4100401</v>
      </c>
      <c r="J385" s="2">
        <f>31400</f>
        <v>31400</v>
      </c>
      <c r="K385" s="2" t="str">
        <f t="shared" si="69"/>
        <v>脚</v>
      </c>
      <c r="L385" s="2" t="str">
        <f t="shared" si="73"/>
        <v>3630331</v>
      </c>
      <c r="M385" s="2" t="str">
        <f>""</f>
        <v/>
      </c>
    </row>
    <row r="386" spans="1:13" x14ac:dyDescent="0.15">
      <c r="A386" s="2" t="str">
        <f t="shared" si="67"/>
        <v>1881110500</v>
      </c>
      <c r="B386" s="2" t="str">
        <f t="shared" si="68"/>
        <v>佐伯・区政調整</v>
      </c>
      <c r="C386" s="2" t="str">
        <f t="shared" si="64"/>
        <v>01ｲ00311</v>
      </c>
      <c r="D386" s="2" t="str">
        <f t="shared" si="65"/>
        <v>肘掛椅子</v>
      </c>
      <c r="E386" s="3" t="str">
        <f t="shared" si="70"/>
        <v>肘付</v>
      </c>
      <c r="F386" s="2" t="str">
        <f t="shared" si="71"/>
        <v>０００１</v>
      </c>
      <c r="G386" s="2" t="str">
        <f>"3620003478"</f>
        <v>3620003478</v>
      </c>
      <c r="H386" s="2" t="str">
        <f t="shared" si="66"/>
        <v>001</v>
      </c>
      <c r="I386" s="2" t="str">
        <f t="shared" si="72"/>
        <v>4100401</v>
      </c>
      <c r="J386" s="2">
        <f>31400</f>
        <v>31400</v>
      </c>
      <c r="K386" s="2" t="str">
        <f t="shared" si="69"/>
        <v>脚</v>
      </c>
      <c r="L386" s="2" t="str">
        <f t="shared" si="73"/>
        <v>3630331</v>
      </c>
      <c r="M386" s="2" t="str">
        <f>""</f>
        <v/>
      </c>
    </row>
    <row r="387" spans="1:13" x14ac:dyDescent="0.15">
      <c r="A387" s="2" t="str">
        <f t="shared" si="67"/>
        <v>1881110500</v>
      </c>
      <c r="B387" s="2" t="str">
        <f t="shared" si="68"/>
        <v>佐伯・区政調整</v>
      </c>
      <c r="C387" s="2" t="str">
        <f t="shared" si="64"/>
        <v>01ｲ00311</v>
      </c>
      <c r="D387" s="2" t="str">
        <f t="shared" si="65"/>
        <v>肘掛椅子</v>
      </c>
      <c r="E387" s="3" t="str">
        <f t="shared" si="70"/>
        <v>肘付</v>
      </c>
      <c r="F387" s="2" t="str">
        <f t="shared" si="71"/>
        <v>０００１</v>
      </c>
      <c r="G387" s="2" t="str">
        <f>"3620003479"</f>
        <v>3620003479</v>
      </c>
      <c r="H387" s="2" t="str">
        <f t="shared" si="66"/>
        <v>001</v>
      </c>
      <c r="I387" s="2" t="str">
        <f t="shared" si="72"/>
        <v>4100401</v>
      </c>
      <c r="J387" s="2">
        <f>31400</f>
        <v>31400</v>
      </c>
      <c r="K387" s="2" t="str">
        <f t="shared" si="69"/>
        <v>脚</v>
      </c>
      <c r="L387" s="2" t="str">
        <f t="shared" si="73"/>
        <v>3630331</v>
      </c>
      <c r="M387" s="2" t="str">
        <f>""</f>
        <v/>
      </c>
    </row>
    <row r="388" spans="1:13" x14ac:dyDescent="0.15">
      <c r="A388" s="2" t="str">
        <f t="shared" si="67"/>
        <v>1881110500</v>
      </c>
      <c r="B388" s="2" t="str">
        <f t="shared" si="68"/>
        <v>佐伯・区政調整</v>
      </c>
      <c r="C388" s="2" t="str">
        <f t="shared" si="64"/>
        <v>01ｲ00311</v>
      </c>
      <c r="D388" s="2" t="str">
        <f t="shared" si="65"/>
        <v>肘掛椅子</v>
      </c>
      <c r="E388" s="3" t="str">
        <f t="shared" si="70"/>
        <v>肘付</v>
      </c>
      <c r="F388" s="2" t="str">
        <f t="shared" si="71"/>
        <v>０００１</v>
      </c>
      <c r="G388" s="2" t="str">
        <f>"3620003480"</f>
        <v>3620003480</v>
      </c>
      <c r="H388" s="2" t="str">
        <f t="shared" si="66"/>
        <v>001</v>
      </c>
      <c r="I388" s="2" t="str">
        <f t="shared" si="72"/>
        <v>4100401</v>
      </c>
      <c r="J388" s="2">
        <f>31400</f>
        <v>31400</v>
      </c>
      <c r="K388" s="2" t="str">
        <f t="shared" si="69"/>
        <v>脚</v>
      </c>
      <c r="L388" s="2" t="str">
        <f t="shared" si="73"/>
        <v>3630331</v>
      </c>
      <c r="M388" s="2" t="str">
        <f>""</f>
        <v/>
      </c>
    </row>
    <row r="389" spans="1:13" x14ac:dyDescent="0.15">
      <c r="A389" s="2" t="str">
        <f t="shared" si="67"/>
        <v>1881110500</v>
      </c>
      <c r="B389" s="2" t="str">
        <f t="shared" si="68"/>
        <v>佐伯・区政調整</v>
      </c>
      <c r="C389" s="2" t="str">
        <f t="shared" si="64"/>
        <v>01ｲ00311</v>
      </c>
      <c r="D389" s="2" t="str">
        <f t="shared" si="65"/>
        <v>肘掛椅子</v>
      </c>
      <c r="E389" s="3" t="str">
        <f t="shared" si="70"/>
        <v>肘付</v>
      </c>
      <c r="F389" s="2" t="str">
        <f t="shared" si="71"/>
        <v>０００１</v>
      </c>
      <c r="G389" s="2" t="str">
        <f>"3620003481"</f>
        <v>3620003481</v>
      </c>
      <c r="H389" s="2" t="str">
        <f t="shared" si="66"/>
        <v>001</v>
      </c>
      <c r="I389" s="2" t="str">
        <f t="shared" si="72"/>
        <v>4100401</v>
      </c>
      <c r="J389" s="2">
        <f>31400</f>
        <v>31400</v>
      </c>
      <c r="K389" s="2" t="str">
        <f t="shared" si="69"/>
        <v>脚</v>
      </c>
      <c r="L389" s="2" t="str">
        <f t="shared" si="73"/>
        <v>3630331</v>
      </c>
      <c r="M389" s="2" t="str">
        <f>""</f>
        <v/>
      </c>
    </row>
    <row r="390" spans="1:13" x14ac:dyDescent="0.15">
      <c r="A390" s="2" t="str">
        <f t="shared" si="67"/>
        <v>1881110500</v>
      </c>
      <c r="B390" s="2" t="str">
        <f t="shared" si="68"/>
        <v>佐伯・区政調整</v>
      </c>
      <c r="C390" s="2" t="str">
        <f t="shared" si="64"/>
        <v>01ｲ00311</v>
      </c>
      <c r="D390" s="2" t="str">
        <f t="shared" si="65"/>
        <v>肘掛椅子</v>
      </c>
      <c r="E390" s="3" t="str">
        <f t="shared" si="70"/>
        <v>肘付</v>
      </c>
      <c r="F390" s="2" t="str">
        <f t="shared" si="71"/>
        <v>０００１</v>
      </c>
      <c r="G390" s="2" t="str">
        <f>"3620003482"</f>
        <v>3620003482</v>
      </c>
      <c r="H390" s="2" t="str">
        <f t="shared" si="66"/>
        <v>001</v>
      </c>
      <c r="I390" s="2" t="str">
        <f t="shared" si="72"/>
        <v>4100401</v>
      </c>
      <c r="J390" s="2">
        <f>31400</f>
        <v>31400</v>
      </c>
      <c r="K390" s="2" t="str">
        <f t="shared" si="69"/>
        <v>脚</v>
      </c>
      <c r="L390" s="2" t="str">
        <f t="shared" si="73"/>
        <v>3630331</v>
      </c>
      <c r="M390" s="2" t="str">
        <f>""</f>
        <v/>
      </c>
    </row>
    <row r="391" spans="1:13" x14ac:dyDescent="0.15">
      <c r="A391" s="2" t="str">
        <f t="shared" si="67"/>
        <v>1881110500</v>
      </c>
      <c r="B391" s="2" t="str">
        <f t="shared" si="68"/>
        <v>佐伯・区政調整</v>
      </c>
      <c r="C391" s="2" t="str">
        <f t="shared" si="64"/>
        <v>01ｲ00311</v>
      </c>
      <c r="D391" s="2" t="str">
        <f t="shared" si="65"/>
        <v>肘掛椅子</v>
      </c>
      <c r="E391" s="3" t="str">
        <f t="shared" si="70"/>
        <v>肘付</v>
      </c>
      <c r="F391" s="2" t="str">
        <f t="shared" si="71"/>
        <v>０００１</v>
      </c>
      <c r="G391" s="2" t="str">
        <f>"3620003483"</f>
        <v>3620003483</v>
      </c>
      <c r="H391" s="2" t="str">
        <f t="shared" si="66"/>
        <v>001</v>
      </c>
      <c r="I391" s="2" t="str">
        <f t="shared" si="72"/>
        <v>4100401</v>
      </c>
      <c r="J391" s="2">
        <f>31400</f>
        <v>31400</v>
      </c>
      <c r="K391" s="2" t="str">
        <f t="shared" si="69"/>
        <v>脚</v>
      </c>
      <c r="L391" s="2" t="str">
        <f t="shared" si="73"/>
        <v>3630331</v>
      </c>
      <c r="M391" s="2" t="str">
        <f>""</f>
        <v/>
      </c>
    </row>
    <row r="392" spans="1:13" x14ac:dyDescent="0.15">
      <c r="A392" s="2" t="str">
        <f t="shared" si="67"/>
        <v>1881110500</v>
      </c>
      <c r="B392" s="2" t="str">
        <f t="shared" si="68"/>
        <v>佐伯・区政調整</v>
      </c>
      <c r="C392" s="2" t="str">
        <f t="shared" si="64"/>
        <v>01ｲ00311</v>
      </c>
      <c r="D392" s="2" t="str">
        <f t="shared" si="65"/>
        <v>肘掛椅子</v>
      </c>
      <c r="E392" s="3" t="str">
        <f t="shared" si="70"/>
        <v>肘付</v>
      </c>
      <c r="F392" s="2" t="str">
        <f t="shared" si="71"/>
        <v>０００１</v>
      </c>
      <c r="G392" s="2" t="str">
        <f>"3620003484"</f>
        <v>3620003484</v>
      </c>
      <c r="H392" s="2" t="str">
        <f t="shared" si="66"/>
        <v>001</v>
      </c>
      <c r="I392" s="2" t="str">
        <f t="shared" si="72"/>
        <v>4100401</v>
      </c>
      <c r="J392" s="2">
        <f>31400</f>
        <v>31400</v>
      </c>
      <c r="K392" s="2" t="str">
        <f t="shared" si="69"/>
        <v>脚</v>
      </c>
      <c r="L392" s="2" t="str">
        <f t="shared" si="73"/>
        <v>3630331</v>
      </c>
      <c r="M392" s="2" t="str">
        <f>""</f>
        <v/>
      </c>
    </row>
    <row r="393" spans="1:13" x14ac:dyDescent="0.15">
      <c r="A393" s="2" t="str">
        <f t="shared" si="67"/>
        <v>1881110500</v>
      </c>
      <c r="B393" s="2" t="str">
        <f t="shared" si="68"/>
        <v>佐伯・区政調整</v>
      </c>
      <c r="C393" s="2" t="str">
        <f t="shared" si="64"/>
        <v>01ｲ00311</v>
      </c>
      <c r="D393" s="2" t="str">
        <f t="shared" si="65"/>
        <v>肘掛椅子</v>
      </c>
      <c r="E393" s="3" t="str">
        <f t="shared" si="70"/>
        <v>肘付</v>
      </c>
      <c r="F393" s="2" t="str">
        <f t="shared" si="71"/>
        <v>０００１</v>
      </c>
      <c r="G393" s="2" t="str">
        <f>"3620003485"</f>
        <v>3620003485</v>
      </c>
      <c r="H393" s="2" t="str">
        <f t="shared" si="66"/>
        <v>001</v>
      </c>
      <c r="I393" s="2" t="str">
        <f t="shared" si="72"/>
        <v>4100401</v>
      </c>
      <c r="J393" s="2">
        <f>31400</f>
        <v>31400</v>
      </c>
      <c r="K393" s="2" t="str">
        <f t="shared" si="69"/>
        <v>脚</v>
      </c>
      <c r="L393" s="2" t="str">
        <f t="shared" si="73"/>
        <v>3630331</v>
      </c>
      <c r="M393" s="2" t="str">
        <f>""</f>
        <v/>
      </c>
    </row>
    <row r="394" spans="1:13" x14ac:dyDescent="0.15">
      <c r="A394" s="2" t="str">
        <f t="shared" si="67"/>
        <v>1881110500</v>
      </c>
      <c r="B394" s="2" t="str">
        <f t="shared" si="68"/>
        <v>佐伯・区政調整</v>
      </c>
      <c r="C394" s="2" t="str">
        <f t="shared" ref="C394:C457" si="74">"01ｲ00311"</f>
        <v>01ｲ00311</v>
      </c>
      <c r="D394" s="2" t="str">
        <f t="shared" ref="D394:D457" si="75">"肘掛椅子"</f>
        <v>肘掛椅子</v>
      </c>
      <c r="E394" s="3" t="str">
        <f t="shared" si="70"/>
        <v>肘付</v>
      </c>
      <c r="F394" s="2" t="str">
        <f t="shared" si="71"/>
        <v>０００１</v>
      </c>
      <c r="G394" s="2" t="str">
        <f>"3620003486"</f>
        <v>3620003486</v>
      </c>
      <c r="H394" s="2" t="str">
        <f t="shared" ref="H394:H457" si="76">"001"</f>
        <v>001</v>
      </c>
      <c r="I394" s="2" t="str">
        <f t="shared" si="72"/>
        <v>4100401</v>
      </c>
      <c r="J394" s="2">
        <f>31400</f>
        <v>31400</v>
      </c>
      <c r="K394" s="2" t="str">
        <f t="shared" si="69"/>
        <v>脚</v>
      </c>
      <c r="L394" s="2" t="str">
        <f t="shared" si="73"/>
        <v>3630331</v>
      </c>
      <c r="M394" s="2" t="str">
        <f>""</f>
        <v/>
      </c>
    </row>
    <row r="395" spans="1:13" x14ac:dyDescent="0.15">
      <c r="A395" s="2" t="str">
        <f t="shared" si="67"/>
        <v>1881110500</v>
      </c>
      <c r="B395" s="2" t="str">
        <f t="shared" si="68"/>
        <v>佐伯・区政調整</v>
      </c>
      <c r="C395" s="2" t="str">
        <f t="shared" si="74"/>
        <v>01ｲ00311</v>
      </c>
      <c r="D395" s="2" t="str">
        <f t="shared" si="75"/>
        <v>肘掛椅子</v>
      </c>
      <c r="E395" s="3" t="str">
        <f t="shared" si="70"/>
        <v>肘付</v>
      </c>
      <c r="F395" s="2" t="str">
        <f t="shared" si="71"/>
        <v>０００１</v>
      </c>
      <c r="G395" s="2" t="str">
        <f>"3620003487"</f>
        <v>3620003487</v>
      </c>
      <c r="H395" s="2" t="str">
        <f t="shared" si="76"/>
        <v>001</v>
      </c>
      <c r="I395" s="2" t="str">
        <f t="shared" si="72"/>
        <v>4100401</v>
      </c>
      <c r="J395" s="2">
        <f>31400</f>
        <v>31400</v>
      </c>
      <c r="K395" s="2" t="str">
        <f t="shared" si="69"/>
        <v>脚</v>
      </c>
      <c r="L395" s="2" t="str">
        <f t="shared" si="73"/>
        <v>3630331</v>
      </c>
      <c r="M395" s="2" t="str">
        <f>""</f>
        <v/>
      </c>
    </row>
    <row r="396" spans="1:13" x14ac:dyDescent="0.15">
      <c r="A396" s="2" t="str">
        <f t="shared" si="67"/>
        <v>1881110500</v>
      </c>
      <c r="B396" s="2" t="str">
        <f t="shared" si="68"/>
        <v>佐伯・区政調整</v>
      </c>
      <c r="C396" s="2" t="str">
        <f t="shared" si="74"/>
        <v>01ｲ00311</v>
      </c>
      <c r="D396" s="2" t="str">
        <f t="shared" si="75"/>
        <v>肘掛椅子</v>
      </c>
      <c r="E396" s="3" t="str">
        <f t="shared" si="70"/>
        <v>肘付</v>
      </c>
      <c r="F396" s="2" t="str">
        <f t="shared" si="71"/>
        <v>０００１</v>
      </c>
      <c r="G396" s="2" t="str">
        <f>"3620003488"</f>
        <v>3620003488</v>
      </c>
      <c r="H396" s="2" t="str">
        <f t="shared" si="76"/>
        <v>001</v>
      </c>
      <c r="I396" s="2" t="str">
        <f t="shared" si="72"/>
        <v>4100401</v>
      </c>
      <c r="J396" s="2">
        <f>31400</f>
        <v>31400</v>
      </c>
      <c r="K396" s="2" t="str">
        <f t="shared" si="69"/>
        <v>脚</v>
      </c>
      <c r="L396" s="2" t="str">
        <f t="shared" si="73"/>
        <v>3630331</v>
      </c>
      <c r="M396" s="2" t="str">
        <f>""</f>
        <v/>
      </c>
    </row>
    <row r="397" spans="1:13" x14ac:dyDescent="0.15">
      <c r="A397" s="2" t="str">
        <f t="shared" si="67"/>
        <v>1881110500</v>
      </c>
      <c r="B397" s="2" t="str">
        <f t="shared" si="68"/>
        <v>佐伯・区政調整</v>
      </c>
      <c r="C397" s="2" t="str">
        <f t="shared" si="74"/>
        <v>01ｲ00311</v>
      </c>
      <c r="D397" s="2" t="str">
        <f t="shared" si="75"/>
        <v>肘掛椅子</v>
      </c>
      <c r="E397" s="3" t="str">
        <f t="shared" si="70"/>
        <v>肘付</v>
      </c>
      <c r="F397" s="2" t="str">
        <f t="shared" si="71"/>
        <v>０００１</v>
      </c>
      <c r="G397" s="2" t="str">
        <f>"3620003489"</f>
        <v>3620003489</v>
      </c>
      <c r="H397" s="2" t="str">
        <f t="shared" si="76"/>
        <v>001</v>
      </c>
      <c r="I397" s="2" t="str">
        <f t="shared" si="72"/>
        <v>4100401</v>
      </c>
      <c r="J397" s="2">
        <f>31400</f>
        <v>31400</v>
      </c>
      <c r="K397" s="2" t="str">
        <f t="shared" si="69"/>
        <v>脚</v>
      </c>
      <c r="L397" s="2" t="str">
        <f t="shared" si="73"/>
        <v>3630331</v>
      </c>
      <c r="M397" s="2" t="str">
        <f>""</f>
        <v/>
      </c>
    </row>
    <row r="398" spans="1:13" x14ac:dyDescent="0.15">
      <c r="A398" s="2" t="str">
        <f t="shared" si="67"/>
        <v>1881110500</v>
      </c>
      <c r="B398" s="2" t="str">
        <f t="shared" si="68"/>
        <v>佐伯・区政調整</v>
      </c>
      <c r="C398" s="2" t="str">
        <f t="shared" si="74"/>
        <v>01ｲ00311</v>
      </c>
      <c r="D398" s="2" t="str">
        <f t="shared" si="75"/>
        <v>肘掛椅子</v>
      </c>
      <c r="E398" s="3" t="str">
        <f t="shared" si="70"/>
        <v>肘付</v>
      </c>
      <c r="F398" s="2" t="str">
        <f t="shared" si="71"/>
        <v>０００１</v>
      </c>
      <c r="G398" s="2" t="str">
        <f>"3620003490"</f>
        <v>3620003490</v>
      </c>
      <c r="H398" s="2" t="str">
        <f t="shared" si="76"/>
        <v>001</v>
      </c>
      <c r="I398" s="2" t="str">
        <f t="shared" si="72"/>
        <v>4100401</v>
      </c>
      <c r="J398" s="2">
        <f>31400</f>
        <v>31400</v>
      </c>
      <c r="K398" s="2" t="str">
        <f t="shared" si="69"/>
        <v>脚</v>
      </c>
      <c r="L398" s="2" t="str">
        <f t="shared" si="73"/>
        <v>3630331</v>
      </c>
      <c r="M398" s="2" t="str">
        <f>""</f>
        <v/>
      </c>
    </row>
    <row r="399" spans="1:13" x14ac:dyDescent="0.15">
      <c r="A399" s="2" t="str">
        <f t="shared" si="67"/>
        <v>1881110500</v>
      </c>
      <c r="B399" s="2" t="str">
        <f t="shared" si="68"/>
        <v>佐伯・区政調整</v>
      </c>
      <c r="C399" s="2" t="str">
        <f t="shared" si="74"/>
        <v>01ｲ00311</v>
      </c>
      <c r="D399" s="2" t="str">
        <f t="shared" si="75"/>
        <v>肘掛椅子</v>
      </c>
      <c r="E399" s="3" t="str">
        <f t="shared" si="70"/>
        <v>肘付</v>
      </c>
      <c r="F399" s="2" t="str">
        <f t="shared" si="71"/>
        <v>０００１</v>
      </c>
      <c r="G399" s="2" t="str">
        <f>"3620003491"</f>
        <v>3620003491</v>
      </c>
      <c r="H399" s="2" t="str">
        <f t="shared" si="76"/>
        <v>001</v>
      </c>
      <c r="I399" s="2" t="str">
        <f t="shared" si="72"/>
        <v>4100401</v>
      </c>
      <c r="J399" s="2">
        <f>31400</f>
        <v>31400</v>
      </c>
      <c r="K399" s="2" t="str">
        <f t="shared" si="69"/>
        <v>脚</v>
      </c>
      <c r="L399" s="2" t="str">
        <f t="shared" si="73"/>
        <v>3630331</v>
      </c>
      <c r="M399" s="2" t="str">
        <f>""</f>
        <v/>
      </c>
    </row>
    <row r="400" spans="1:13" x14ac:dyDescent="0.15">
      <c r="A400" s="2" t="str">
        <f t="shared" si="67"/>
        <v>1881110500</v>
      </c>
      <c r="B400" s="2" t="str">
        <f t="shared" si="68"/>
        <v>佐伯・区政調整</v>
      </c>
      <c r="C400" s="2" t="str">
        <f t="shared" si="74"/>
        <v>01ｲ00311</v>
      </c>
      <c r="D400" s="2" t="str">
        <f t="shared" si="75"/>
        <v>肘掛椅子</v>
      </c>
      <c r="E400" s="3" t="str">
        <f t="shared" si="70"/>
        <v>肘付</v>
      </c>
      <c r="F400" s="2" t="str">
        <f t="shared" si="71"/>
        <v>０００１</v>
      </c>
      <c r="G400" s="2" t="str">
        <f>"3620003492"</f>
        <v>3620003492</v>
      </c>
      <c r="H400" s="2" t="str">
        <f t="shared" si="76"/>
        <v>001</v>
      </c>
      <c r="I400" s="2" t="str">
        <f t="shared" si="72"/>
        <v>4100401</v>
      </c>
      <c r="J400" s="2">
        <f>31400</f>
        <v>31400</v>
      </c>
      <c r="K400" s="2" t="str">
        <f t="shared" si="69"/>
        <v>脚</v>
      </c>
      <c r="L400" s="2" t="str">
        <f t="shared" si="73"/>
        <v>3630331</v>
      </c>
      <c r="M400" s="2" t="str">
        <f>""</f>
        <v/>
      </c>
    </row>
    <row r="401" spans="1:13" x14ac:dyDescent="0.15">
      <c r="A401" s="2" t="str">
        <f t="shared" si="67"/>
        <v>1881110500</v>
      </c>
      <c r="B401" s="2" t="str">
        <f t="shared" si="68"/>
        <v>佐伯・区政調整</v>
      </c>
      <c r="C401" s="2" t="str">
        <f t="shared" si="74"/>
        <v>01ｲ00311</v>
      </c>
      <c r="D401" s="2" t="str">
        <f t="shared" si="75"/>
        <v>肘掛椅子</v>
      </c>
      <c r="E401" s="3" t="str">
        <f t="shared" si="70"/>
        <v>肘付</v>
      </c>
      <c r="F401" s="2" t="str">
        <f t="shared" si="71"/>
        <v>０００１</v>
      </c>
      <c r="G401" s="2" t="str">
        <f>"3620003493"</f>
        <v>3620003493</v>
      </c>
      <c r="H401" s="2" t="str">
        <f t="shared" si="76"/>
        <v>001</v>
      </c>
      <c r="I401" s="2" t="str">
        <f t="shared" si="72"/>
        <v>4100401</v>
      </c>
      <c r="J401" s="2">
        <f>31400</f>
        <v>31400</v>
      </c>
      <c r="K401" s="2" t="str">
        <f t="shared" si="69"/>
        <v>脚</v>
      </c>
      <c r="L401" s="2" t="str">
        <f t="shared" si="73"/>
        <v>3630331</v>
      </c>
      <c r="M401" s="2" t="str">
        <f>""</f>
        <v/>
      </c>
    </row>
    <row r="402" spans="1:13" x14ac:dyDescent="0.15">
      <c r="A402" s="2" t="str">
        <f t="shared" si="67"/>
        <v>1881110500</v>
      </c>
      <c r="B402" s="2" t="str">
        <f t="shared" si="68"/>
        <v>佐伯・区政調整</v>
      </c>
      <c r="C402" s="2" t="str">
        <f t="shared" si="74"/>
        <v>01ｲ00311</v>
      </c>
      <c r="D402" s="2" t="str">
        <f t="shared" si="75"/>
        <v>肘掛椅子</v>
      </c>
      <c r="E402" s="3" t="str">
        <f t="shared" si="70"/>
        <v>肘付</v>
      </c>
      <c r="F402" s="2" t="str">
        <f t="shared" si="71"/>
        <v>０００１</v>
      </c>
      <c r="G402" s="2" t="str">
        <f>"3620003494"</f>
        <v>3620003494</v>
      </c>
      <c r="H402" s="2" t="str">
        <f t="shared" si="76"/>
        <v>001</v>
      </c>
      <c r="I402" s="2" t="str">
        <f t="shared" si="72"/>
        <v>4100401</v>
      </c>
      <c r="J402" s="2">
        <f>31400</f>
        <v>31400</v>
      </c>
      <c r="K402" s="2" t="str">
        <f t="shared" si="69"/>
        <v>脚</v>
      </c>
      <c r="L402" s="2" t="str">
        <f t="shared" si="73"/>
        <v>3630331</v>
      </c>
      <c r="M402" s="2" t="str">
        <f>""</f>
        <v/>
      </c>
    </row>
    <row r="403" spans="1:13" x14ac:dyDescent="0.15">
      <c r="A403" s="2" t="str">
        <f t="shared" si="67"/>
        <v>1881110500</v>
      </c>
      <c r="B403" s="2" t="str">
        <f t="shared" si="68"/>
        <v>佐伯・区政調整</v>
      </c>
      <c r="C403" s="2" t="str">
        <f t="shared" si="74"/>
        <v>01ｲ00311</v>
      </c>
      <c r="D403" s="2" t="str">
        <f t="shared" si="75"/>
        <v>肘掛椅子</v>
      </c>
      <c r="E403" s="3" t="str">
        <f t="shared" si="70"/>
        <v>肘付</v>
      </c>
      <c r="F403" s="2" t="str">
        <f t="shared" si="71"/>
        <v>０００１</v>
      </c>
      <c r="G403" s="2" t="str">
        <f>"3620003495"</f>
        <v>3620003495</v>
      </c>
      <c r="H403" s="2" t="str">
        <f t="shared" si="76"/>
        <v>001</v>
      </c>
      <c r="I403" s="2" t="str">
        <f t="shared" si="72"/>
        <v>4100401</v>
      </c>
      <c r="J403" s="2">
        <f>31400</f>
        <v>31400</v>
      </c>
      <c r="K403" s="2" t="str">
        <f t="shared" si="69"/>
        <v>脚</v>
      </c>
      <c r="L403" s="2" t="str">
        <f t="shared" si="73"/>
        <v>3630331</v>
      </c>
      <c r="M403" s="2" t="str">
        <f>""</f>
        <v/>
      </c>
    </row>
    <row r="404" spans="1:13" x14ac:dyDescent="0.15">
      <c r="A404" s="2" t="str">
        <f t="shared" si="67"/>
        <v>1881110500</v>
      </c>
      <c r="B404" s="2" t="str">
        <f t="shared" si="68"/>
        <v>佐伯・区政調整</v>
      </c>
      <c r="C404" s="2" t="str">
        <f t="shared" si="74"/>
        <v>01ｲ00311</v>
      </c>
      <c r="D404" s="2" t="str">
        <f t="shared" si="75"/>
        <v>肘掛椅子</v>
      </c>
      <c r="E404" s="3" t="str">
        <f t="shared" si="70"/>
        <v>肘付</v>
      </c>
      <c r="F404" s="2" t="str">
        <f t="shared" si="71"/>
        <v>０００１</v>
      </c>
      <c r="G404" s="2" t="str">
        <f>"3620003496"</f>
        <v>3620003496</v>
      </c>
      <c r="H404" s="2" t="str">
        <f t="shared" si="76"/>
        <v>001</v>
      </c>
      <c r="I404" s="2" t="str">
        <f t="shared" si="72"/>
        <v>4100401</v>
      </c>
      <c r="J404" s="2">
        <f>31400</f>
        <v>31400</v>
      </c>
      <c r="K404" s="2" t="str">
        <f t="shared" si="69"/>
        <v>脚</v>
      </c>
      <c r="L404" s="2" t="str">
        <f t="shared" si="73"/>
        <v>3630331</v>
      </c>
      <c r="M404" s="2" t="str">
        <f>""</f>
        <v/>
      </c>
    </row>
    <row r="405" spans="1:13" x14ac:dyDescent="0.15">
      <c r="A405" s="2" t="str">
        <f t="shared" si="67"/>
        <v>1881110500</v>
      </c>
      <c r="B405" s="2" t="str">
        <f t="shared" si="68"/>
        <v>佐伯・区政調整</v>
      </c>
      <c r="C405" s="2" t="str">
        <f t="shared" si="74"/>
        <v>01ｲ00311</v>
      </c>
      <c r="D405" s="2" t="str">
        <f t="shared" si="75"/>
        <v>肘掛椅子</v>
      </c>
      <c r="E405" s="3" t="str">
        <f t="shared" si="70"/>
        <v>肘付</v>
      </c>
      <c r="F405" s="2" t="str">
        <f t="shared" si="71"/>
        <v>０００１</v>
      </c>
      <c r="G405" s="2" t="str">
        <f>"3620003497"</f>
        <v>3620003497</v>
      </c>
      <c r="H405" s="2" t="str">
        <f t="shared" si="76"/>
        <v>001</v>
      </c>
      <c r="I405" s="2" t="str">
        <f t="shared" si="72"/>
        <v>4100401</v>
      </c>
      <c r="J405" s="2">
        <f>31400</f>
        <v>31400</v>
      </c>
      <c r="K405" s="2" t="str">
        <f t="shared" si="69"/>
        <v>脚</v>
      </c>
      <c r="L405" s="2" t="str">
        <f t="shared" si="73"/>
        <v>3630331</v>
      </c>
      <c r="M405" s="2" t="str">
        <f>""</f>
        <v/>
      </c>
    </row>
    <row r="406" spans="1:13" x14ac:dyDescent="0.15">
      <c r="A406" s="2" t="str">
        <f t="shared" si="67"/>
        <v>1881110500</v>
      </c>
      <c r="B406" s="2" t="str">
        <f t="shared" si="68"/>
        <v>佐伯・区政調整</v>
      </c>
      <c r="C406" s="2" t="str">
        <f t="shared" si="74"/>
        <v>01ｲ00311</v>
      </c>
      <c r="D406" s="2" t="str">
        <f t="shared" si="75"/>
        <v>肘掛椅子</v>
      </c>
      <c r="E406" s="3" t="str">
        <f t="shared" si="70"/>
        <v>肘付</v>
      </c>
      <c r="F406" s="2" t="str">
        <f t="shared" si="71"/>
        <v>０００１</v>
      </c>
      <c r="G406" s="2" t="str">
        <f>"3620003498"</f>
        <v>3620003498</v>
      </c>
      <c r="H406" s="2" t="str">
        <f t="shared" si="76"/>
        <v>001</v>
      </c>
      <c r="I406" s="2" t="str">
        <f t="shared" si="72"/>
        <v>4100401</v>
      </c>
      <c r="J406" s="2">
        <f>31400</f>
        <v>31400</v>
      </c>
      <c r="K406" s="2" t="str">
        <f t="shared" si="69"/>
        <v>脚</v>
      </c>
      <c r="L406" s="2" t="str">
        <f t="shared" si="73"/>
        <v>3630331</v>
      </c>
      <c r="M406" s="2" t="str">
        <f>""</f>
        <v/>
      </c>
    </row>
    <row r="407" spans="1:13" x14ac:dyDescent="0.15">
      <c r="A407" s="2" t="str">
        <f t="shared" si="67"/>
        <v>1881110500</v>
      </c>
      <c r="B407" s="2" t="str">
        <f t="shared" si="68"/>
        <v>佐伯・区政調整</v>
      </c>
      <c r="C407" s="2" t="str">
        <f t="shared" si="74"/>
        <v>01ｲ00311</v>
      </c>
      <c r="D407" s="2" t="str">
        <f t="shared" si="75"/>
        <v>肘掛椅子</v>
      </c>
      <c r="E407" s="3" t="str">
        <f t="shared" si="70"/>
        <v>肘付</v>
      </c>
      <c r="F407" s="2" t="str">
        <f t="shared" si="71"/>
        <v>０００１</v>
      </c>
      <c r="G407" s="2" t="str">
        <f>"3620003499"</f>
        <v>3620003499</v>
      </c>
      <c r="H407" s="2" t="str">
        <f t="shared" si="76"/>
        <v>001</v>
      </c>
      <c r="I407" s="2" t="str">
        <f t="shared" si="72"/>
        <v>4100401</v>
      </c>
      <c r="J407" s="2">
        <f>31400</f>
        <v>31400</v>
      </c>
      <c r="K407" s="2" t="str">
        <f t="shared" si="69"/>
        <v>脚</v>
      </c>
      <c r="L407" s="2" t="str">
        <f t="shared" si="73"/>
        <v>3630331</v>
      </c>
      <c r="M407" s="2" t="str">
        <f>""</f>
        <v/>
      </c>
    </row>
    <row r="408" spans="1:13" x14ac:dyDescent="0.15">
      <c r="A408" s="2" t="str">
        <f t="shared" si="67"/>
        <v>1881110500</v>
      </c>
      <c r="B408" s="2" t="str">
        <f t="shared" si="68"/>
        <v>佐伯・区政調整</v>
      </c>
      <c r="C408" s="2" t="str">
        <f t="shared" si="74"/>
        <v>01ｲ00311</v>
      </c>
      <c r="D408" s="2" t="str">
        <f t="shared" si="75"/>
        <v>肘掛椅子</v>
      </c>
      <c r="E408" s="3" t="str">
        <f t="shared" si="70"/>
        <v>肘付</v>
      </c>
      <c r="F408" s="2" t="str">
        <f t="shared" si="71"/>
        <v>０００１</v>
      </c>
      <c r="G408" s="2" t="str">
        <f>"3620003500"</f>
        <v>3620003500</v>
      </c>
      <c r="H408" s="2" t="str">
        <f t="shared" si="76"/>
        <v>001</v>
      </c>
      <c r="I408" s="2" t="str">
        <f t="shared" si="72"/>
        <v>4100401</v>
      </c>
      <c r="J408" s="2">
        <f>31400</f>
        <v>31400</v>
      </c>
      <c r="K408" s="2" t="str">
        <f t="shared" si="69"/>
        <v>脚</v>
      </c>
      <c r="L408" s="2" t="str">
        <f t="shared" si="73"/>
        <v>3630331</v>
      </c>
      <c r="M408" s="2" t="str">
        <f>""</f>
        <v/>
      </c>
    </row>
    <row r="409" spans="1:13" x14ac:dyDescent="0.15">
      <c r="A409" s="2" t="str">
        <f t="shared" si="67"/>
        <v>1881110500</v>
      </c>
      <c r="B409" s="2" t="str">
        <f t="shared" si="68"/>
        <v>佐伯・区政調整</v>
      </c>
      <c r="C409" s="2" t="str">
        <f t="shared" si="74"/>
        <v>01ｲ00311</v>
      </c>
      <c r="D409" s="2" t="str">
        <f t="shared" si="75"/>
        <v>肘掛椅子</v>
      </c>
      <c r="E409" s="3" t="str">
        <f t="shared" si="70"/>
        <v>肘付</v>
      </c>
      <c r="F409" s="2" t="str">
        <f t="shared" si="71"/>
        <v>０００１</v>
      </c>
      <c r="G409" s="2" t="str">
        <f>"3620003501"</f>
        <v>3620003501</v>
      </c>
      <c r="H409" s="2" t="str">
        <f t="shared" si="76"/>
        <v>001</v>
      </c>
      <c r="I409" s="2" t="str">
        <f t="shared" si="72"/>
        <v>4100401</v>
      </c>
      <c r="J409" s="2">
        <f>31400</f>
        <v>31400</v>
      </c>
      <c r="K409" s="2" t="str">
        <f t="shared" si="69"/>
        <v>脚</v>
      </c>
      <c r="L409" s="2" t="str">
        <f t="shared" si="73"/>
        <v>3630331</v>
      </c>
      <c r="M409" s="2" t="str">
        <f>""</f>
        <v/>
      </c>
    </row>
    <row r="410" spans="1:13" x14ac:dyDescent="0.15">
      <c r="A410" s="2" t="str">
        <f t="shared" ref="A410:A473" si="77">"1881110500"</f>
        <v>1881110500</v>
      </c>
      <c r="B410" s="2" t="str">
        <f t="shared" ref="B410:B473" si="78">"佐伯・区政調整"</f>
        <v>佐伯・区政調整</v>
      </c>
      <c r="C410" s="2" t="str">
        <f t="shared" si="74"/>
        <v>01ｲ00311</v>
      </c>
      <c r="D410" s="2" t="str">
        <f t="shared" si="75"/>
        <v>肘掛椅子</v>
      </c>
      <c r="E410" s="3" t="str">
        <f t="shared" si="70"/>
        <v>肘付</v>
      </c>
      <c r="F410" s="2" t="str">
        <f t="shared" si="71"/>
        <v>０００１</v>
      </c>
      <c r="G410" s="2" t="str">
        <f>"3620003502"</f>
        <v>3620003502</v>
      </c>
      <c r="H410" s="2" t="str">
        <f t="shared" si="76"/>
        <v>001</v>
      </c>
      <c r="I410" s="2" t="str">
        <f t="shared" si="72"/>
        <v>4100401</v>
      </c>
      <c r="J410" s="2">
        <f>31400</f>
        <v>31400</v>
      </c>
      <c r="K410" s="2" t="str">
        <f t="shared" ref="K410:K473" si="79">"脚"</f>
        <v>脚</v>
      </c>
      <c r="L410" s="2" t="str">
        <f t="shared" si="73"/>
        <v>3630331</v>
      </c>
      <c r="M410" s="2" t="str">
        <f>""</f>
        <v/>
      </c>
    </row>
    <row r="411" spans="1:13" x14ac:dyDescent="0.15">
      <c r="A411" s="2" t="str">
        <f t="shared" si="77"/>
        <v>1881110500</v>
      </c>
      <c r="B411" s="2" t="str">
        <f t="shared" si="78"/>
        <v>佐伯・区政調整</v>
      </c>
      <c r="C411" s="2" t="str">
        <f t="shared" si="74"/>
        <v>01ｲ00311</v>
      </c>
      <c r="D411" s="2" t="str">
        <f t="shared" si="75"/>
        <v>肘掛椅子</v>
      </c>
      <c r="E411" s="3" t="str">
        <f t="shared" si="70"/>
        <v>肘付</v>
      </c>
      <c r="F411" s="2" t="str">
        <f t="shared" si="71"/>
        <v>０００１</v>
      </c>
      <c r="G411" s="2" t="str">
        <f>"3620003503"</f>
        <v>3620003503</v>
      </c>
      <c r="H411" s="2" t="str">
        <f t="shared" si="76"/>
        <v>001</v>
      </c>
      <c r="I411" s="2" t="str">
        <f t="shared" si="72"/>
        <v>4100401</v>
      </c>
      <c r="J411" s="2">
        <f>31400</f>
        <v>31400</v>
      </c>
      <c r="K411" s="2" t="str">
        <f t="shared" si="79"/>
        <v>脚</v>
      </c>
      <c r="L411" s="2" t="str">
        <f t="shared" si="73"/>
        <v>3630331</v>
      </c>
      <c r="M411" s="2" t="str">
        <f>""</f>
        <v/>
      </c>
    </row>
    <row r="412" spans="1:13" x14ac:dyDescent="0.15">
      <c r="A412" s="2" t="str">
        <f t="shared" si="77"/>
        <v>1881110500</v>
      </c>
      <c r="B412" s="2" t="str">
        <f t="shared" si="78"/>
        <v>佐伯・区政調整</v>
      </c>
      <c r="C412" s="2" t="str">
        <f t="shared" si="74"/>
        <v>01ｲ00311</v>
      </c>
      <c r="D412" s="2" t="str">
        <f t="shared" si="75"/>
        <v>肘掛椅子</v>
      </c>
      <c r="E412" s="3" t="str">
        <f t="shared" si="70"/>
        <v>肘付</v>
      </c>
      <c r="F412" s="2" t="str">
        <f t="shared" si="71"/>
        <v>０００１</v>
      </c>
      <c r="G412" s="2" t="str">
        <f>"3620003504"</f>
        <v>3620003504</v>
      </c>
      <c r="H412" s="2" t="str">
        <f t="shared" si="76"/>
        <v>001</v>
      </c>
      <c r="I412" s="2" t="str">
        <f t="shared" si="72"/>
        <v>4100401</v>
      </c>
      <c r="J412" s="2">
        <f>31400</f>
        <v>31400</v>
      </c>
      <c r="K412" s="2" t="str">
        <f t="shared" si="79"/>
        <v>脚</v>
      </c>
      <c r="L412" s="2" t="str">
        <f t="shared" si="73"/>
        <v>3630331</v>
      </c>
      <c r="M412" s="2" t="str">
        <f>""</f>
        <v/>
      </c>
    </row>
    <row r="413" spans="1:13" x14ac:dyDescent="0.15">
      <c r="A413" s="2" t="str">
        <f t="shared" si="77"/>
        <v>1881110500</v>
      </c>
      <c r="B413" s="2" t="str">
        <f t="shared" si="78"/>
        <v>佐伯・区政調整</v>
      </c>
      <c r="C413" s="2" t="str">
        <f t="shared" si="74"/>
        <v>01ｲ00311</v>
      </c>
      <c r="D413" s="2" t="str">
        <f t="shared" si="75"/>
        <v>肘掛椅子</v>
      </c>
      <c r="E413" s="3" t="str">
        <f t="shared" si="70"/>
        <v>肘付</v>
      </c>
      <c r="F413" s="2" t="str">
        <f t="shared" si="71"/>
        <v>０００１</v>
      </c>
      <c r="G413" s="2" t="str">
        <f>"3620003505"</f>
        <v>3620003505</v>
      </c>
      <c r="H413" s="2" t="str">
        <f t="shared" si="76"/>
        <v>001</v>
      </c>
      <c r="I413" s="2" t="str">
        <f t="shared" si="72"/>
        <v>4100401</v>
      </c>
      <c r="J413" s="2">
        <f>31400</f>
        <v>31400</v>
      </c>
      <c r="K413" s="2" t="str">
        <f t="shared" si="79"/>
        <v>脚</v>
      </c>
      <c r="L413" s="2" t="str">
        <f t="shared" si="73"/>
        <v>3630331</v>
      </c>
      <c r="M413" s="2" t="str">
        <f>""</f>
        <v/>
      </c>
    </row>
    <row r="414" spans="1:13" x14ac:dyDescent="0.15">
      <c r="A414" s="2" t="str">
        <f t="shared" si="77"/>
        <v>1881110500</v>
      </c>
      <c r="B414" s="2" t="str">
        <f t="shared" si="78"/>
        <v>佐伯・区政調整</v>
      </c>
      <c r="C414" s="2" t="str">
        <f t="shared" si="74"/>
        <v>01ｲ00311</v>
      </c>
      <c r="D414" s="2" t="str">
        <f t="shared" si="75"/>
        <v>肘掛椅子</v>
      </c>
      <c r="E414" s="3" t="str">
        <f t="shared" si="70"/>
        <v>肘付</v>
      </c>
      <c r="F414" s="2" t="str">
        <f t="shared" si="71"/>
        <v>０００１</v>
      </c>
      <c r="G414" s="2" t="str">
        <f>"3620003506"</f>
        <v>3620003506</v>
      </c>
      <c r="H414" s="2" t="str">
        <f t="shared" si="76"/>
        <v>001</v>
      </c>
      <c r="I414" s="2" t="str">
        <f t="shared" si="72"/>
        <v>4100401</v>
      </c>
      <c r="J414" s="2">
        <f>31400</f>
        <v>31400</v>
      </c>
      <c r="K414" s="2" t="str">
        <f t="shared" si="79"/>
        <v>脚</v>
      </c>
      <c r="L414" s="2" t="str">
        <f t="shared" si="73"/>
        <v>3630331</v>
      </c>
      <c r="M414" s="2" t="str">
        <f>""</f>
        <v/>
      </c>
    </row>
    <row r="415" spans="1:13" x14ac:dyDescent="0.15">
      <c r="A415" s="2" t="str">
        <f t="shared" si="77"/>
        <v>1881110500</v>
      </c>
      <c r="B415" s="2" t="str">
        <f t="shared" si="78"/>
        <v>佐伯・区政調整</v>
      </c>
      <c r="C415" s="2" t="str">
        <f t="shared" si="74"/>
        <v>01ｲ00311</v>
      </c>
      <c r="D415" s="2" t="str">
        <f t="shared" si="75"/>
        <v>肘掛椅子</v>
      </c>
      <c r="E415" s="3" t="str">
        <f t="shared" si="70"/>
        <v>肘付</v>
      </c>
      <c r="F415" s="2" t="str">
        <f t="shared" si="71"/>
        <v>０００１</v>
      </c>
      <c r="G415" s="2" t="str">
        <f>"3620003507"</f>
        <v>3620003507</v>
      </c>
      <c r="H415" s="2" t="str">
        <f t="shared" si="76"/>
        <v>001</v>
      </c>
      <c r="I415" s="2" t="str">
        <f t="shared" si="72"/>
        <v>4100401</v>
      </c>
      <c r="J415" s="2">
        <f>31400</f>
        <v>31400</v>
      </c>
      <c r="K415" s="2" t="str">
        <f t="shared" si="79"/>
        <v>脚</v>
      </c>
      <c r="L415" s="2" t="str">
        <f t="shared" si="73"/>
        <v>3630331</v>
      </c>
      <c r="M415" s="2" t="str">
        <f>""</f>
        <v/>
      </c>
    </row>
    <row r="416" spans="1:13" x14ac:dyDescent="0.15">
      <c r="A416" s="2" t="str">
        <f t="shared" si="77"/>
        <v>1881110500</v>
      </c>
      <c r="B416" s="2" t="str">
        <f t="shared" si="78"/>
        <v>佐伯・区政調整</v>
      </c>
      <c r="C416" s="2" t="str">
        <f t="shared" si="74"/>
        <v>01ｲ00311</v>
      </c>
      <c r="D416" s="2" t="str">
        <f t="shared" si="75"/>
        <v>肘掛椅子</v>
      </c>
      <c r="E416" s="3" t="str">
        <f t="shared" si="70"/>
        <v>肘付</v>
      </c>
      <c r="F416" s="2" t="str">
        <f t="shared" si="71"/>
        <v>０００１</v>
      </c>
      <c r="G416" s="2" t="str">
        <f>"3620003508"</f>
        <v>3620003508</v>
      </c>
      <c r="H416" s="2" t="str">
        <f t="shared" si="76"/>
        <v>001</v>
      </c>
      <c r="I416" s="2" t="str">
        <f t="shared" si="72"/>
        <v>4100401</v>
      </c>
      <c r="J416" s="2">
        <f>31400</f>
        <v>31400</v>
      </c>
      <c r="K416" s="2" t="str">
        <f t="shared" si="79"/>
        <v>脚</v>
      </c>
      <c r="L416" s="2" t="str">
        <f t="shared" si="73"/>
        <v>3630331</v>
      </c>
      <c r="M416" s="2" t="str">
        <f>""</f>
        <v/>
      </c>
    </row>
    <row r="417" spans="1:13" x14ac:dyDescent="0.15">
      <c r="A417" s="2" t="str">
        <f t="shared" si="77"/>
        <v>1881110500</v>
      </c>
      <c r="B417" s="2" t="str">
        <f t="shared" si="78"/>
        <v>佐伯・区政調整</v>
      </c>
      <c r="C417" s="2" t="str">
        <f t="shared" si="74"/>
        <v>01ｲ00311</v>
      </c>
      <c r="D417" s="2" t="str">
        <f t="shared" si="75"/>
        <v>肘掛椅子</v>
      </c>
      <c r="E417" s="3" t="str">
        <f t="shared" si="70"/>
        <v>肘付</v>
      </c>
      <c r="F417" s="2" t="str">
        <f t="shared" si="71"/>
        <v>０００１</v>
      </c>
      <c r="G417" s="2" t="str">
        <f>"3620003509"</f>
        <v>3620003509</v>
      </c>
      <c r="H417" s="2" t="str">
        <f t="shared" si="76"/>
        <v>001</v>
      </c>
      <c r="I417" s="2" t="str">
        <f t="shared" si="72"/>
        <v>4100401</v>
      </c>
      <c r="J417" s="2">
        <f>31400</f>
        <v>31400</v>
      </c>
      <c r="K417" s="2" t="str">
        <f t="shared" si="79"/>
        <v>脚</v>
      </c>
      <c r="L417" s="2" t="str">
        <f t="shared" si="73"/>
        <v>3630331</v>
      </c>
      <c r="M417" s="2" t="str">
        <f>""</f>
        <v/>
      </c>
    </row>
    <row r="418" spans="1:13" x14ac:dyDescent="0.15">
      <c r="A418" s="2" t="str">
        <f t="shared" si="77"/>
        <v>1881110500</v>
      </c>
      <c r="B418" s="2" t="str">
        <f t="shared" si="78"/>
        <v>佐伯・区政調整</v>
      </c>
      <c r="C418" s="2" t="str">
        <f t="shared" si="74"/>
        <v>01ｲ00311</v>
      </c>
      <c r="D418" s="2" t="str">
        <f t="shared" si="75"/>
        <v>肘掛椅子</v>
      </c>
      <c r="E418" s="3" t="str">
        <f t="shared" ref="E418:E481" si="80">"肘付"</f>
        <v>肘付</v>
      </c>
      <c r="F418" s="2" t="str">
        <f t="shared" ref="F418:F481" si="81">"０００１"</f>
        <v>０００１</v>
      </c>
      <c r="G418" s="2" t="str">
        <f>"3620003510"</f>
        <v>3620003510</v>
      </c>
      <c r="H418" s="2" t="str">
        <f t="shared" si="76"/>
        <v>001</v>
      </c>
      <c r="I418" s="2" t="str">
        <f t="shared" ref="I418:I481" si="82">"4100401"</f>
        <v>4100401</v>
      </c>
      <c r="J418" s="2">
        <f>31400</f>
        <v>31400</v>
      </c>
      <c r="K418" s="2" t="str">
        <f t="shared" si="79"/>
        <v>脚</v>
      </c>
      <c r="L418" s="2" t="str">
        <f t="shared" ref="L418:L481" si="83">"3630331"</f>
        <v>3630331</v>
      </c>
      <c r="M418" s="2" t="str">
        <f>""</f>
        <v/>
      </c>
    </row>
    <row r="419" spans="1:13" x14ac:dyDescent="0.15">
      <c r="A419" s="2" t="str">
        <f t="shared" si="77"/>
        <v>1881110500</v>
      </c>
      <c r="B419" s="2" t="str">
        <f t="shared" si="78"/>
        <v>佐伯・区政調整</v>
      </c>
      <c r="C419" s="2" t="str">
        <f t="shared" si="74"/>
        <v>01ｲ00311</v>
      </c>
      <c r="D419" s="2" t="str">
        <f t="shared" si="75"/>
        <v>肘掛椅子</v>
      </c>
      <c r="E419" s="3" t="str">
        <f t="shared" si="80"/>
        <v>肘付</v>
      </c>
      <c r="F419" s="2" t="str">
        <f t="shared" si="81"/>
        <v>０００１</v>
      </c>
      <c r="G419" s="2" t="str">
        <f>"3620003511"</f>
        <v>3620003511</v>
      </c>
      <c r="H419" s="2" t="str">
        <f t="shared" si="76"/>
        <v>001</v>
      </c>
      <c r="I419" s="2" t="str">
        <f t="shared" si="82"/>
        <v>4100401</v>
      </c>
      <c r="J419" s="2">
        <f>31400</f>
        <v>31400</v>
      </c>
      <c r="K419" s="2" t="str">
        <f t="shared" si="79"/>
        <v>脚</v>
      </c>
      <c r="L419" s="2" t="str">
        <f t="shared" si="83"/>
        <v>3630331</v>
      </c>
      <c r="M419" s="2" t="str">
        <f>""</f>
        <v/>
      </c>
    </row>
    <row r="420" spans="1:13" x14ac:dyDescent="0.15">
      <c r="A420" s="2" t="str">
        <f t="shared" si="77"/>
        <v>1881110500</v>
      </c>
      <c r="B420" s="2" t="str">
        <f t="shared" si="78"/>
        <v>佐伯・区政調整</v>
      </c>
      <c r="C420" s="2" t="str">
        <f t="shared" si="74"/>
        <v>01ｲ00311</v>
      </c>
      <c r="D420" s="2" t="str">
        <f t="shared" si="75"/>
        <v>肘掛椅子</v>
      </c>
      <c r="E420" s="3" t="str">
        <f t="shared" si="80"/>
        <v>肘付</v>
      </c>
      <c r="F420" s="2" t="str">
        <f t="shared" si="81"/>
        <v>０００１</v>
      </c>
      <c r="G420" s="2" t="str">
        <f>"3620003512"</f>
        <v>3620003512</v>
      </c>
      <c r="H420" s="2" t="str">
        <f t="shared" si="76"/>
        <v>001</v>
      </c>
      <c r="I420" s="2" t="str">
        <f t="shared" si="82"/>
        <v>4100401</v>
      </c>
      <c r="J420" s="2">
        <f>31400</f>
        <v>31400</v>
      </c>
      <c r="K420" s="2" t="str">
        <f t="shared" si="79"/>
        <v>脚</v>
      </c>
      <c r="L420" s="2" t="str">
        <f t="shared" si="83"/>
        <v>3630331</v>
      </c>
      <c r="M420" s="2" t="str">
        <f>""</f>
        <v/>
      </c>
    </row>
    <row r="421" spans="1:13" x14ac:dyDescent="0.15">
      <c r="A421" s="2" t="str">
        <f t="shared" si="77"/>
        <v>1881110500</v>
      </c>
      <c r="B421" s="2" t="str">
        <f t="shared" si="78"/>
        <v>佐伯・区政調整</v>
      </c>
      <c r="C421" s="2" t="str">
        <f t="shared" si="74"/>
        <v>01ｲ00311</v>
      </c>
      <c r="D421" s="2" t="str">
        <f t="shared" si="75"/>
        <v>肘掛椅子</v>
      </c>
      <c r="E421" s="3" t="str">
        <f t="shared" si="80"/>
        <v>肘付</v>
      </c>
      <c r="F421" s="2" t="str">
        <f t="shared" si="81"/>
        <v>０００１</v>
      </c>
      <c r="G421" s="2" t="str">
        <f>"3620003513"</f>
        <v>3620003513</v>
      </c>
      <c r="H421" s="2" t="str">
        <f t="shared" si="76"/>
        <v>001</v>
      </c>
      <c r="I421" s="2" t="str">
        <f t="shared" si="82"/>
        <v>4100401</v>
      </c>
      <c r="J421" s="2">
        <f>31400</f>
        <v>31400</v>
      </c>
      <c r="K421" s="2" t="str">
        <f t="shared" si="79"/>
        <v>脚</v>
      </c>
      <c r="L421" s="2" t="str">
        <f t="shared" si="83"/>
        <v>3630331</v>
      </c>
      <c r="M421" s="2" t="str">
        <f>""</f>
        <v/>
      </c>
    </row>
    <row r="422" spans="1:13" x14ac:dyDescent="0.15">
      <c r="A422" s="2" t="str">
        <f t="shared" si="77"/>
        <v>1881110500</v>
      </c>
      <c r="B422" s="2" t="str">
        <f t="shared" si="78"/>
        <v>佐伯・区政調整</v>
      </c>
      <c r="C422" s="2" t="str">
        <f t="shared" si="74"/>
        <v>01ｲ00311</v>
      </c>
      <c r="D422" s="2" t="str">
        <f t="shared" si="75"/>
        <v>肘掛椅子</v>
      </c>
      <c r="E422" s="3" t="str">
        <f t="shared" si="80"/>
        <v>肘付</v>
      </c>
      <c r="F422" s="2" t="str">
        <f t="shared" si="81"/>
        <v>０００１</v>
      </c>
      <c r="G422" s="2" t="str">
        <f>"3620003514"</f>
        <v>3620003514</v>
      </c>
      <c r="H422" s="2" t="str">
        <f t="shared" si="76"/>
        <v>001</v>
      </c>
      <c r="I422" s="2" t="str">
        <f t="shared" si="82"/>
        <v>4100401</v>
      </c>
      <c r="J422" s="2">
        <f>31400</f>
        <v>31400</v>
      </c>
      <c r="K422" s="2" t="str">
        <f t="shared" si="79"/>
        <v>脚</v>
      </c>
      <c r="L422" s="2" t="str">
        <f t="shared" si="83"/>
        <v>3630331</v>
      </c>
      <c r="M422" s="2" t="str">
        <f>""</f>
        <v/>
      </c>
    </row>
    <row r="423" spans="1:13" x14ac:dyDescent="0.15">
      <c r="A423" s="2" t="str">
        <f t="shared" si="77"/>
        <v>1881110500</v>
      </c>
      <c r="B423" s="2" t="str">
        <f t="shared" si="78"/>
        <v>佐伯・区政調整</v>
      </c>
      <c r="C423" s="2" t="str">
        <f t="shared" si="74"/>
        <v>01ｲ00311</v>
      </c>
      <c r="D423" s="2" t="str">
        <f t="shared" si="75"/>
        <v>肘掛椅子</v>
      </c>
      <c r="E423" s="3" t="str">
        <f t="shared" si="80"/>
        <v>肘付</v>
      </c>
      <c r="F423" s="2" t="str">
        <f t="shared" si="81"/>
        <v>０００１</v>
      </c>
      <c r="G423" s="2" t="str">
        <f>"3620003515"</f>
        <v>3620003515</v>
      </c>
      <c r="H423" s="2" t="str">
        <f t="shared" si="76"/>
        <v>001</v>
      </c>
      <c r="I423" s="2" t="str">
        <f t="shared" si="82"/>
        <v>4100401</v>
      </c>
      <c r="J423" s="2">
        <f>31400</f>
        <v>31400</v>
      </c>
      <c r="K423" s="2" t="str">
        <f t="shared" si="79"/>
        <v>脚</v>
      </c>
      <c r="L423" s="2" t="str">
        <f t="shared" si="83"/>
        <v>3630331</v>
      </c>
      <c r="M423" s="2" t="str">
        <f>""</f>
        <v/>
      </c>
    </row>
    <row r="424" spans="1:13" x14ac:dyDescent="0.15">
      <c r="A424" s="2" t="str">
        <f t="shared" si="77"/>
        <v>1881110500</v>
      </c>
      <c r="B424" s="2" t="str">
        <f t="shared" si="78"/>
        <v>佐伯・区政調整</v>
      </c>
      <c r="C424" s="2" t="str">
        <f t="shared" si="74"/>
        <v>01ｲ00311</v>
      </c>
      <c r="D424" s="2" t="str">
        <f t="shared" si="75"/>
        <v>肘掛椅子</v>
      </c>
      <c r="E424" s="3" t="str">
        <f t="shared" si="80"/>
        <v>肘付</v>
      </c>
      <c r="F424" s="2" t="str">
        <f t="shared" si="81"/>
        <v>０００１</v>
      </c>
      <c r="G424" s="2" t="str">
        <f>"3620003516"</f>
        <v>3620003516</v>
      </c>
      <c r="H424" s="2" t="str">
        <f t="shared" si="76"/>
        <v>001</v>
      </c>
      <c r="I424" s="2" t="str">
        <f t="shared" si="82"/>
        <v>4100401</v>
      </c>
      <c r="J424" s="2">
        <f>31400</f>
        <v>31400</v>
      </c>
      <c r="K424" s="2" t="str">
        <f t="shared" si="79"/>
        <v>脚</v>
      </c>
      <c r="L424" s="2" t="str">
        <f t="shared" si="83"/>
        <v>3630331</v>
      </c>
      <c r="M424" s="2" t="str">
        <f>""</f>
        <v/>
      </c>
    </row>
    <row r="425" spans="1:13" x14ac:dyDescent="0.15">
      <c r="A425" s="2" t="str">
        <f t="shared" si="77"/>
        <v>1881110500</v>
      </c>
      <c r="B425" s="2" t="str">
        <f t="shared" si="78"/>
        <v>佐伯・区政調整</v>
      </c>
      <c r="C425" s="2" t="str">
        <f t="shared" si="74"/>
        <v>01ｲ00311</v>
      </c>
      <c r="D425" s="2" t="str">
        <f t="shared" si="75"/>
        <v>肘掛椅子</v>
      </c>
      <c r="E425" s="3" t="str">
        <f t="shared" si="80"/>
        <v>肘付</v>
      </c>
      <c r="F425" s="2" t="str">
        <f t="shared" si="81"/>
        <v>０００１</v>
      </c>
      <c r="G425" s="2" t="str">
        <f>"3620003517"</f>
        <v>3620003517</v>
      </c>
      <c r="H425" s="2" t="str">
        <f t="shared" si="76"/>
        <v>001</v>
      </c>
      <c r="I425" s="2" t="str">
        <f t="shared" si="82"/>
        <v>4100401</v>
      </c>
      <c r="J425" s="2">
        <f>31400</f>
        <v>31400</v>
      </c>
      <c r="K425" s="2" t="str">
        <f t="shared" si="79"/>
        <v>脚</v>
      </c>
      <c r="L425" s="2" t="str">
        <f t="shared" si="83"/>
        <v>3630331</v>
      </c>
      <c r="M425" s="2" t="str">
        <f>""</f>
        <v/>
      </c>
    </row>
    <row r="426" spans="1:13" x14ac:dyDescent="0.15">
      <c r="A426" s="2" t="str">
        <f t="shared" si="77"/>
        <v>1881110500</v>
      </c>
      <c r="B426" s="2" t="str">
        <f t="shared" si="78"/>
        <v>佐伯・区政調整</v>
      </c>
      <c r="C426" s="2" t="str">
        <f t="shared" si="74"/>
        <v>01ｲ00311</v>
      </c>
      <c r="D426" s="2" t="str">
        <f t="shared" si="75"/>
        <v>肘掛椅子</v>
      </c>
      <c r="E426" s="3" t="str">
        <f t="shared" si="80"/>
        <v>肘付</v>
      </c>
      <c r="F426" s="2" t="str">
        <f t="shared" si="81"/>
        <v>０００１</v>
      </c>
      <c r="G426" s="2" t="str">
        <f>"3620003518"</f>
        <v>3620003518</v>
      </c>
      <c r="H426" s="2" t="str">
        <f t="shared" si="76"/>
        <v>001</v>
      </c>
      <c r="I426" s="2" t="str">
        <f t="shared" si="82"/>
        <v>4100401</v>
      </c>
      <c r="J426" s="2">
        <f>31400</f>
        <v>31400</v>
      </c>
      <c r="K426" s="2" t="str">
        <f t="shared" si="79"/>
        <v>脚</v>
      </c>
      <c r="L426" s="2" t="str">
        <f t="shared" si="83"/>
        <v>3630331</v>
      </c>
      <c r="M426" s="2" t="str">
        <f>""</f>
        <v/>
      </c>
    </row>
    <row r="427" spans="1:13" x14ac:dyDescent="0.15">
      <c r="A427" s="2" t="str">
        <f t="shared" si="77"/>
        <v>1881110500</v>
      </c>
      <c r="B427" s="2" t="str">
        <f t="shared" si="78"/>
        <v>佐伯・区政調整</v>
      </c>
      <c r="C427" s="2" t="str">
        <f t="shared" si="74"/>
        <v>01ｲ00311</v>
      </c>
      <c r="D427" s="2" t="str">
        <f t="shared" si="75"/>
        <v>肘掛椅子</v>
      </c>
      <c r="E427" s="3" t="str">
        <f t="shared" si="80"/>
        <v>肘付</v>
      </c>
      <c r="F427" s="2" t="str">
        <f t="shared" si="81"/>
        <v>０００１</v>
      </c>
      <c r="G427" s="2" t="str">
        <f>"3620003519"</f>
        <v>3620003519</v>
      </c>
      <c r="H427" s="2" t="str">
        <f t="shared" si="76"/>
        <v>001</v>
      </c>
      <c r="I427" s="2" t="str">
        <f t="shared" si="82"/>
        <v>4100401</v>
      </c>
      <c r="J427" s="2">
        <f>31400</f>
        <v>31400</v>
      </c>
      <c r="K427" s="2" t="str">
        <f t="shared" si="79"/>
        <v>脚</v>
      </c>
      <c r="L427" s="2" t="str">
        <f t="shared" si="83"/>
        <v>3630331</v>
      </c>
      <c r="M427" s="2" t="str">
        <f>""</f>
        <v/>
      </c>
    </row>
    <row r="428" spans="1:13" x14ac:dyDescent="0.15">
      <c r="A428" s="2" t="str">
        <f t="shared" si="77"/>
        <v>1881110500</v>
      </c>
      <c r="B428" s="2" t="str">
        <f t="shared" si="78"/>
        <v>佐伯・区政調整</v>
      </c>
      <c r="C428" s="2" t="str">
        <f t="shared" si="74"/>
        <v>01ｲ00311</v>
      </c>
      <c r="D428" s="2" t="str">
        <f t="shared" si="75"/>
        <v>肘掛椅子</v>
      </c>
      <c r="E428" s="3" t="str">
        <f t="shared" si="80"/>
        <v>肘付</v>
      </c>
      <c r="F428" s="2" t="str">
        <f t="shared" si="81"/>
        <v>０００１</v>
      </c>
      <c r="G428" s="2" t="str">
        <f>"3620003520"</f>
        <v>3620003520</v>
      </c>
      <c r="H428" s="2" t="str">
        <f t="shared" si="76"/>
        <v>001</v>
      </c>
      <c r="I428" s="2" t="str">
        <f t="shared" si="82"/>
        <v>4100401</v>
      </c>
      <c r="J428" s="2">
        <f>31400</f>
        <v>31400</v>
      </c>
      <c r="K428" s="2" t="str">
        <f t="shared" si="79"/>
        <v>脚</v>
      </c>
      <c r="L428" s="2" t="str">
        <f t="shared" si="83"/>
        <v>3630331</v>
      </c>
      <c r="M428" s="2" t="str">
        <f>""</f>
        <v/>
      </c>
    </row>
    <row r="429" spans="1:13" x14ac:dyDescent="0.15">
      <c r="A429" s="2" t="str">
        <f t="shared" si="77"/>
        <v>1881110500</v>
      </c>
      <c r="B429" s="2" t="str">
        <f t="shared" si="78"/>
        <v>佐伯・区政調整</v>
      </c>
      <c r="C429" s="2" t="str">
        <f t="shared" si="74"/>
        <v>01ｲ00311</v>
      </c>
      <c r="D429" s="2" t="str">
        <f t="shared" si="75"/>
        <v>肘掛椅子</v>
      </c>
      <c r="E429" s="3" t="str">
        <f t="shared" si="80"/>
        <v>肘付</v>
      </c>
      <c r="F429" s="2" t="str">
        <f t="shared" si="81"/>
        <v>０００１</v>
      </c>
      <c r="G429" s="2" t="str">
        <f>"3620003521"</f>
        <v>3620003521</v>
      </c>
      <c r="H429" s="2" t="str">
        <f t="shared" si="76"/>
        <v>001</v>
      </c>
      <c r="I429" s="2" t="str">
        <f t="shared" si="82"/>
        <v>4100401</v>
      </c>
      <c r="J429" s="2">
        <f>31400</f>
        <v>31400</v>
      </c>
      <c r="K429" s="2" t="str">
        <f t="shared" si="79"/>
        <v>脚</v>
      </c>
      <c r="L429" s="2" t="str">
        <f t="shared" si="83"/>
        <v>3630331</v>
      </c>
      <c r="M429" s="2" t="str">
        <f>""</f>
        <v/>
      </c>
    </row>
    <row r="430" spans="1:13" x14ac:dyDescent="0.15">
      <c r="A430" s="2" t="str">
        <f t="shared" si="77"/>
        <v>1881110500</v>
      </c>
      <c r="B430" s="2" t="str">
        <f t="shared" si="78"/>
        <v>佐伯・区政調整</v>
      </c>
      <c r="C430" s="2" t="str">
        <f t="shared" si="74"/>
        <v>01ｲ00311</v>
      </c>
      <c r="D430" s="2" t="str">
        <f t="shared" si="75"/>
        <v>肘掛椅子</v>
      </c>
      <c r="E430" s="3" t="str">
        <f t="shared" si="80"/>
        <v>肘付</v>
      </c>
      <c r="F430" s="2" t="str">
        <f t="shared" si="81"/>
        <v>０００１</v>
      </c>
      <c r="G430" s="2" t="str">
        <f>"3620003522"</f>
        <v>3620003522</v>
      </c>
      <c r="H430" s="2" t="str">
        <f t="shared" si="76"/>
        <v>001</v>
      </c>
      <c r="I430" s="2" t="str">
        <f t="shared" si="82"/>
        <v>4100401</v>
      </c>
      <c r="J430" s="2">
        <f>31400</f>
        <v>31400</v>
      </c>
      <c r="K430" s="2" t="str">
        <f t="shared" si="79"/>
        <v>脚</v>
      </c>
      <c r="L430" s="2" t="str">
        <f t="shared" si="83"/>
        <v>3630331</v>
      </c>
      <c r="M430" s="2" t="str">
        <f>""</f>
        <v/>
      </c>
    </row>
    <row r="431" spans="1:13" x14ac:dyDescent="0.15">
      <c r="A431" s="2" t="str">
        <f t="shared" si="77"/>
        <v>1881110500</v>
      </c>
      <c r="B431" s="2" t="str">
        <f t="shared" si="78"/>
        <v>佐伯・区政調整</v>
      </c>
      <c r="C431" s="2" t="str">
        <f t="shared" si="74"/>
        <v>01ｲ00311</v>
      </c>
      <c r="D431" s="2" t="str">
        <f t="shared" si="75"/>
        <v>肘掛椅子</v>
      </c>
      <c r="E431" s="3" t="str">
        <f t="shared" si="80"/>
        <v>肘付</v>
      </c>
      <c r="F431" s="2" t="str">
        <f t="shared" si="81"/>
        <v>０００１</v>
      </c>
      <c r="G431" s="2" t="str">
        <f>"3620003523"</f>
        <v>3620003523</v>
      </c>
      <c r="H431" s="2" t="str">
        <f t="shared" si="76"/>
        <v>001</v>
      </c>
      <c r="I431" s="2" t="str">
        <f t="shared" si="82"/>
        <v>4100401</v>
      </c>
      <c r="J431" s="2">
        <f>31400</f>
        <v>31400</v>
      </c>
      <c r="K431" s="2" t="str">
        <f t="shared" si="79"/>
        <v>脚</v>
      </c>
      <c r="L431" s="2" t="str">
        <f t="shared" si="83"/>
        <v>3630331</v>
      </c>
      <c r="M431" s="2" t="str">
        <f>""</f>
        <v/>
      </c>
    </row>
    <row r="432" spans="1:13" x14ac:dyDescent="0.15">
      <c r="A432" s="2" t="str">
        <f t="shared" si="77"/>
        <v>1881110500</v>
      </c>
      <c r="B432" s="2" t="str">
        <f t="shared" si="78"/>
        <v>佐伯・区政調整</v>
      </c>
      <c r="C432" s="2" t="str">
        <f t="shared" si="74"/>
        <v>01ｲ00311</v>
      </c>
      <c r="D432" s="2" t="str">
        <f t="shared" si="75"/>
        <v>肘掛椅子</v>
      </c>
      <c r="E432" s="3" t="str">
        <f t="shared" si="80"/>
        <v>肘付</v>
      </c>
      <c r="F432" s="2" t="str">
        <f t="shared" si="81"/>
        <v>０００１</v>
      </c>
      <c r="G432" s="2" t="str">
        <f>"3620003524"</f>
        <v>3620003524</v>
      </c>
      <c r="H432" s="2" t="str">
        <f t="shared" si="76"/>
        <v>001</v>
      </c>
      <c r="I432" s="2" t="str">
        <f t="shared" si="82"/>
        <v>4100401</v>
      </c>
      <c r="J432" s="2">
        <f>31400</f>
        <v>31400</v>
      </c>
      <c r="K432" s="2" t="str">
        <f t="shared" si="79"/>
        <v>脚</v>
      </c>
      <c r="L432" s="2" t="str">
        <f t="shared" si="83"/>
        <v>3630331</v>
      </c>
      <c r="M432" s="2" t="str">
        <f>""</f>
        <v/>
      </c>
    </row>
    <row r="433" spans="1:13" x14ac:dyDescent="0.15">
      <c r="A433" s="2" t="str">
        <f t="shared" si="77"/>
        <v>1881110500</v>
      </c>
      <c r="B433" s="2" t="str">
        <f t="shared" si="78"/>
        <v>佐伯・区政調整</v>
      </c>
      <c r="C433" s="2" t="str">
        <f t="shared" si="74"/>
        <v>01ｲ00311</v>
      </c>
      <c r="D433" s="2" t="str">
        <f t="shared" si="75"/>
        <v>肘掛椅子</v>
      </c>
      <c r="E433" s="3" t="str">
        <f t="shared" si="80"/>
        <v>肘付</v>
      </c>
      <c r="F433" s="2" t="str">
        <f t="shared" si="81"/>
        <v>０００１</v>
      </c>
      <c r="G433" s="2" t="str">
        <f>"3620003525"</f>
        <v>3620003525</v>
      </c>
      <c r="H433" s="2" t="str">
        <f t="shared" si="76"/>
        <v>001</v>
      </c>
      <c r="I433" s="2" t="str">
        <f t="shared" si="82"/>
        <v>4100401</v>
      </c>
      <c r="J433" s="2">
        <f>31400</f>
        <v>31400</v>
      </c>
      <c r="K433" s="2" t="str">
        <f t="shared" si="79"/>
        <v>脚</v>
      </c>
      <c r="L433" s="2" t="str">
        <f t="shared" si="83"/>
        <v>3630331</v>
      </c>
      <c r="M433" s="2" t="str">
        <f>""</f>
        <v/>
      </c>
    </row>
    <row r="434" spans="1:13" x14ac:dyDescent="0.15">
      <c r="A434" s="2" t="str">
        <f t="shared" si="77"/>
        <v>1881110500</v>
      </c>
      <c r="B434" s="2" t="str">
        <f t="shared" si="78"/>
        <v>佐伯・区政調整</v>
      </c>
      <c r="C434" s="2" t="str">
        <f t="shared" si="74"/>
        <v>01ｲ00311</v>
      </c>
      <c r="D434" s="2" t="str">
        <f t="shared" si="75"/>
        <v>肘掛椅子</v>
      </c>
      <c r="E434" s="3" t="str">
        <f t="shared" si="80"/>
        <v>肘付</v>
      </c>
      <c r="F434" s="2" t="str">
        <f t="shared" si="81"/>
        <v>０００１</v>
      </c>
      <c r="G434" s="2" t="str">
        <f>"3620003526"</f>
        <v>3620003526</v>
      </c>
      <c r="H434" s="2" t="str">
        <f t="shared" si="76"/>
        <v>001</v>
      </c>
      <c r="I434" s="2" t="str">
        <f t="shared" si="82"/>
        <v>4100401</v>
      </c>
      <c r="J434" s="2">
        <f>31400</f>
        <v>31400</v>
      </c>
      <c r="K434" s="2" t="str">
        <f t="shared" si="79"/>
        <v>脚</v>
      </c>
      <c r="L434" s="2" t="str">
        <f t="shared" si="83"/>
        <v>3630331</v>
      </c>
      <c r="M434" s="2" t="str">
        <f>""</f>
        <v/>
      </c>
    </row>
    <row r="435" spans="1:13" x14ac:dyDescent="0.15">
      <c r="A435" s="2" t="str">
        <f t="shared" si="77"/>
        <v>1881110500</v>
      </c>
      <c r="B435" s="2" t="str">
        <f t="shared" si="78"/>
        <v>佐伯・区政調整</v>
      </c>
      <c r="C435" s="2" t="str">
        <f t="shared" si="74"/>
        <v>01ｲ00311</v>
      </c>
      <c r="D435" s="2" t="str">
        <f t="shared" si="75"/>
        <v>肘掛椅子</v>
      </c>
      <c r="E435" s="3" t="str">
        <f t="shared" si="80"/>
        <v>肘付</v>
      </c>
      <c r="F435" s="2" t="str">
        <f t="shared" si="81"/>
        <v>０００１</v>
      </c>
      <c r="G435" s="2" t="str">
        <f>"3620003527"</f>
        <v>3620003527</v>
      </c>
      <c r="H435" s="2" t="str">
        <f t="shared" si="76"/>
        <v>001</v>
      </c>
      <c r="I435" s="2" t="str">
        <f t="shared" si="82"/>
        <v>4100401</v>
      </c>
      <c r="J435" s="2">
        <f>31400</f>
        <v>31400</v>
      </c>
      <c r="K435" s="2" t="str">
        <f t="shared" si="79"/>
        <v>脚</v>
      </c>
      <c r="L435" s="2" t="str">
        <f t="shared" si="83"/>
        <v>3630331</v>
      </c>
      <c r="M435" s="2" t="str">
        <f>""</f>
        <v/>
      </c>
    </row>
    <row r="436" spans="1:13" x14ac:dyDescent="0.15">
      <c r="A436" s="2" t="str">
        <f t="shared" si="77"/>
        <v>1881110500</v>
      </c>
      <c r="B436" s="2" t="str">
        <f t="shared" si="78"/>
        <v>佐伯・区政調整</v>
      </c>
      <c r="C436" s="2" t="str">
        <f t="shared" si="74"/>
        <v>01ｲ00311</v>
      </c>
      <c r="D436" s="2" t="str">
        <f t="shared" si="75"/>
        <v>肘掛椅子</v>
      </c>
      <c r="E436" s="3" t="str">
        <f t="shared" si="80"/>
        <v>肘付</v>
      </c>
      <c r="F436" s="2" t="str">
        <f t="shared" si="81"/>
        <v>０００１</v>
      </c>
      <c r="G436" s="2" t="str">
        <f>"3620003528"</f>
        <v>3620003528</v>
      </c>
      <c r="H436" s="2" t="str">
        <f t="shared" si="76"/>
        <v>001</v>
      </c>
      <c r="I436" s="2" t="str">
        <f t="shared" si="82"/>
        <v>4100401</v>
      </c>
      <c r="J436" s="2">
        <f>31400</f>
        <v>31400</v>
      </c>
      <c r="K436" s="2" t="str">
        <f t="shared" si="79"/>
        <v>脚</v>
      </c>
      <c r="L436" s="2" t="str">
        <f t="shared" si="83"/>
        <v>3630331</v>
      </c>
      <c r="M436" s="2" t="str">
        <f>""</f>
        <v/>
      </c>
    </row>
    <row r="437" spans="1:13" x14ac:dyDescent="0.15">
      <c r="A437" s="2" t="str">
        <f t="shared" si="77"/>
        <v>1881110500</v>
      </c>
      <c r="B437" s="2" t="str">
        <f t="shared" si="78"/>
        <v>佐伯・区政調整</v>
      </c>
      <c r="C437" s="2" t="str">
        <f t="shared" si="74"/>
        <v>01ｲ00311</v>
      </c>
      <c r="D437" s="2" t="str">
        <f t="shared" si="75"/>
        <v>肘掛椅子</v>
      </c>
      <c r="E437" s="3" t="str">
        <f t="shared" si="80"/>
        <v>肘付</v>
      </c>
      <c r="F437" s="2" t="str">
        <f t="shared" si="81"/>
        <v>０００１</v>
      </c>
      <c r="G437" s="2" t="str">
        <f>"3620003529"</f>
        <v>3620003529</v>
      </c>
      <c r="H437" s="2" t="str">
        <f t="shared" si="76"/>
        <v>001</v>
      </c>
      <c r="I437" s="2" t="str">
        <f t="shared" si="82"/>
        <v>4100401</v>
      </c>
      <c r="J437" s="2">
        <f>31400</f>
        <v>31400</v>
      </c>
      <c r="K437" s="2" t="str">
        <f t="shared" si="79"/>
        <v>脚</v>
      </c>
      <c r="L437" s="2" t="str">
        <f t="shared" si="83"/>
        <v>3630331</v>
      </c>
      <c r="M437" s="2" t="str">
        <f>""</f>
        <v/>
      </c>
    </row>
    <row r="438" spans="1:13" x14ac:dyDescent="0.15">
      <c r="A438" s="2" t="str">
        <f t="shared" si="77"/>
        <v>1881110500</v>
      </c>
      <c r="B438" s="2" t="str">
        <f t="shared" si="78"/>
        <v>佐伯・区政調整</v>
      </c>
      <c r="C438" s="2" t="str">
        <f t="shared" si="74"/>
        <v>01ｲ00311</v>
      </c>
      <c r="D438" s="2" t="str">
        <f t="shared" si="75"/>
        <v>肘掛椅子</v>
      </c>
      <c r="E438" s="3" t="str">
        <f t="shared" si="80"/>
        <v>肘付</v>
      </c>
      <c r="F438" s="2" t="str">
        <f t="shared" si="81"/>
        <v>０００１</v>
      </c>
      <c r="G438" s="2" t="str">
        <f>"3620003530"</f>
        <v>3620003530</v>
      </c>
      <c r="H438" s="2" t="str">
        <f t="shared" si="76"/>
        <v>001</v>
      </c>
      <c r="I438" s="2" t="str">
        <f t="shared" si="82"/>
        <v>4100401</v>
      </c>
      <c r="J438" s="2">
        <f>31400</f>
        <v>31400</v>
      </c>
      <c r="K438" s="2" t="str">
        <f t="shared" si="79"/>
        <v>脚</v>
      </c>
      <c r="L438" s="2" t="str">
        <f t="shared" si="83"/>
        <v>3630331</v>
      </c>
      <c r="M438" s="2" t="str">
        <f>""</f>
        <v/>
      </c>
    </row>
    <row r="439" spans="1:13" x14ac:dyDescent="0.15">
      <c r="A439" s="2" t="str">
        <f t="shared" si="77"/>
        <v>1881110500</v>
      </c>
      <c r="B439" s="2" t="str">
        <f t="shared" si="78"/>
        <v>佐伯・区政調整</v>
      </c>
      <c r="C439" s="2" t="str">
        <f t="shared" si="74"/>
        <v>01ｲ00311</v>
      </c>
      <c r="D439" s="2" t="str">
        <f t="shared" si="75"/>
        <v>肘掛椅子</v>
      </c>
      <c r="E439" s="3" t="str">
        <f t="shared" si="80"/>
        <v>肘付</v>
      </c>
      <c r="F439" s="2" t="str">
        <f t="shared" si="81"/>
        <v>０００１</v>
      </c>
      <c r="G439" s="2" t="str">
        <f>"3620003531"</f>
        <v>3620003531</v>
      </c>
      <c r="H439" s="2" t="str">
        <f t="shared" si="76"/>
        <v>001</v>
      </c>
      <c r="I439" s="2" t="str">
        <f t="shared" si="82"/>
        <v>4100401</v>
      </c>
      <c r="J439" s="2">
        <f>31400</f>
        <v>31400</v>
      </c>
      <c r="K439" s="2" t="str">
        <f t="shared" si="79"/>
        <v>脚</v>
      </c>
      <c r="L439" s="2" t="str">
        <f t="shared" si="83"/>
        <v>3630331</v>
      </c>
      <c r="M439" s="2" t="str">
        <f>""</f>
        <v/>
      </c>
    </row>
    <row r="440" spans="1:13" x14ac:dyDescent="0.15">
      <c r="A440" s="2" t="str">
        <f t="shared" si="77"/>
        <v>1881110500</v>
      </c>
      <c r="B440" s="2" t="str">
        <f t="shared" si="78"/>
        <v>佐伯・区政調整</v>
      </c>
      <c r="C440" s="2" t="str">
        <f t="shared" si="74"/>
        <v>01ｲ00311</v>
      </c>
      <c r="D440" s="2" t="str">
        <f t="shared" si="75"/>
        <v>肘掛椅子</v>
      </c>
      <c r="E440" s="3" t="str">
        <f t="shared" si="80"/>
        <v>肘付</v>
      </c>
      <c r="F440" s="2" t="str">
        <f t="shared" si="81"/>
        <v>０００１</v>
      </c>
      <c r="G440" s="2" t="str">
        <f>"3620003532"</f>
        <v>3620003532</v>
      </c>
      <c r="H440" s="2" t="str">
        <f t="shared" si="76"/>
        <v>001</v>
      </c>
      <c r="I440" s="2" t="str">
        <f t="shared" si="82"/>
        <v>4100401</v>
      </c>
      <c r="J440" s="2">
        <f>31400</f>
        <v>31400</v>
      </c>
      <c r="K440" s="2" t="str">
        <f t="shared" si="79"/>
        <v>脚</v>
      </c>
      <c r="L440" s="2" t="str">
        <f t="shared" si="83"/>
        <v>3630331</v>
      </c>
      <c r="M440" s="2" t="str">
        <f>""</f>
        <v/>
      </c>
    </row>
    <row r="441" spans="1:13" x14ac:dyDescent="0.15">
      <c r="A441" s="2" t="str">
        <f t="shared" si="77"/>
        <v>1881110500</v>
      </c>
      <c r="B441" s="2" t="str">
        <f t="shared" si="78"/>
        <v>佐伯・区政調整</v>
      </c>
      <c r="C441" s="2" t="str">
        <f t="shared" si="74"/>
        <v>01ｲ00311</v>
      </c>
      <c r="D441" s="2" t="str">
        <f t="shared" si="75"/>
        <v>肘掛椅子</v>
      </c>
      <c r="E441" s="3" t="str">
        <f t="shared" si="80"/>
        <v>肘付</v>
      </c>
      <c r="F441" s="2" t="str">
        <f t="shared" si="81"/>
        <v>０００１</v>
      </c>
      <c r="G441" s="2" t="str">
        <f>"3620003533"</f>
        <v>3620003533</v>
      </c>
      <c r="H441" s="2" t="str">
        <f t="shared" si="76"/>
        <v>001</v>
      </c>
      <c r="I441" s="2" t="str">
        <f t="shared" si="82"/>
        <v>4100401</v>
      </c>
      <c r="J441" s="2">
        <f>31400</f>
        <v>31400</v>
      </c>
      <c r="K441" s="2" t="str">
        <f t="shared" si="79"/>
        <v>脚</v>
      </c>
      <c r="L441" s="2" t="str">
        <f t="shared" si="83"/>
        <v>3630331</v>
      </c>
      <c r="M441" s="2" t="str">
        <f>""</f>
        <v/>
      </c>
    </row>
    <row r="442" spans="1:13" x14ac:dyDescent="0.15">
      <c r="A442" s="2" t="str">
        <f t="shared" si="77"/>
        <v>1881110500</v>
      </c>
      <c r="B442" s="2" t="str">
        <f t="shared" si="78"/>
        <v>佐伯・区政調整</v>
      </c>
      <c r="C442" s="2" t="str">
        <f t="shared" si="74"/>
        <v>01ｲ00311</v>
      </c>
      <c r="D442" s="2" t="str">
        <f t="shared" si="75"/>
        <v>肘掛椅子</v>
      </c>
      <c r="E442" s="3" t="str">
        <f t="shared" si="80"/>
        <v>肘付</v>
      </c>
      <c r="F442" s="2" t="str">
        <f t="shared" si="81"/>
        <v>０００１</v>
      </c>
      <c r="G442" s="2" t="str">
        <f>"3620003534"</f>
        <v>3620003534</v>
      </c>
      <c r="H442" s="2" t="str">
        <f t="shared" si="76"/>
        <v>001</v>
      </c>
      <c r="I442" s="2" t="str">
        <f t="shared" si="82"/>
        <v>4100401</v>
      </c>
      <c r="J442" s="2">
        <f>31400</f>
        <v>31400</v>
      </c>
      <c r="K442" s="2" t="str">
        <f t="shared" si="79"/>
        <v>脚</v>
      </c>
      <c r="L442" s="2" t="str">
        <f t="shared" si="83"/>
        <v>3630331</v>
      </c>
      <c r="M442" s="2" t="str">
        <f>""</f>
        <v/>
      </c>
    </row>
    <row r="443" spans="1:13" x14ac:dyDescent="0.15">
      <c r="A443" s="2" t="str">
        <f t="shared" si="77"/>
        <v>1881110500</v>
      </c>
      <c r="B443" s="2" t="str">
        <f t="shared" si="78"/>
        <v>佐伯・区政調整</v>
      </c>
      <c r="C443" s="2" t="str">
        <f t="shared" si="74"/>
        <v>01ｲ00311</v>
      </c>
      <c r="D443" s="2" t="str">
        <f t="shared" si="75"/>
        <v>肘掛椅子</v>
      </c>
      <c r="E443" s="3" t="str">
        <f t="shared" si="80"/>
        <v>肘付</v>
      </c>
      <c r="F443" s="2" t="str">
        <f t="shared" si="81"/>
        <v>０００１</v>
      </c>
      <c r="G443" s="2" t="str">
        <f>"3620003535"</f>
        <v>3620003535</v>
      </c>
      <c r="H443" s="2" t="str">
        <f t="shared" si="76"/>
        <v>001</v>
      </c>
      <c r="I443" s="2" t="str">
        <f t="shared" si="82"/>
        <v>4100401</v>
      </c>
      <c r="J443" s="2">
        <f>31400</f>
        <v>31400</v>
      </c>
      <c r="K443" s="2" t="str">
        <f t="shared" si="79"/>
        <v>脚</v>
      </c>
      <c r="L443" s="2" t="str">
        <f t="shared" si="83"/>
        <v>3630331</v>
      </c>
      <c r="M443" s="2" t="str">
        <f>""</f>
        <v/>
      </c>
    </row>
    <row r="444" spans="1:13" x14ac:dyDescent="0.15">
      <c r="A444" s="2" t="str">
        <f t="shared" si="77"/>
        <v>1881110500</v>
      </c>
      <c r="B444" s="2" t="str">
        <f t="shared" si="78"/>
        <v>佐伯・区政調整</v>
      </c>
      <c r="C444" s="2" t="str">
        <f t="shared" si="74"/>
        <v>01ｲ00311</v>
      </c>
      <c r="D444" s="2" t="str">
        <f t="shared" si="75"/>
        <v>肘掛椅子</v>
      </c>
      <c r="E444" s="3" t="str">
        <f t="shared" si="80"/>
        <v>肘付</v>
      </c>
      <c r="F444" s="2" t="str">
        <f t="shared" si="81"/>
        <v>０００１</v>
      </c>
      <c r="G444" s="2" t="str">
        <f>"3620003536"</f>
        <v>3620003536</v>
      </c>
      <c r="H444" s="2" t="str">
        <f t="shared" si="76"/>
        <v>001</v>
      </c>
      <c r="I444" s="2" t="str">
        <f t="shared" si="82"/>
        <v>4100401</v>
      </c>
      <c r="J444" s="2">
        <f>31400</f>
        <v>31400</v>
      </c>
      <c r="K444" s="2" t="str">
        <f t="shared" si="79"/>
        <v>脚</v>
      </c>
      <c r="L444" s="2" t="str">
        <f t="shared" si="83"/>
        <v>3630331</v>
      </c>
      <c r="M444" s="2" t="str">
        <f>""</f>
        <v/>
      </c>
    </row>
    <row r="445" spans="1:13" x14ac:dyDescent="0.15">
      <c r="A445" s="2" t="str">
        <f t="shared" si="77"/>
        <v>1881110500</v>
      </c>
      <c r="B445" s="2" t="str">
        <f t="shared" si="78"/>
        <v>佐伯・区政調整</v>
      </c>
      <c r="C445" s="2" t="str">
        <f t="shared" si="74"/>
        <v>01ｲ00311</v>
      </c>
      <c r="D445" s="2" t="str">
        <f t="shared" si="75"/>
        <v>肘掛椅子</v>
      </c>
      <c r="E445" s="3" t="str">
        <f t="shared" si="80"/>
        <v>肘付</v>
      </c>
      <c r="F445" s="2" t="str">
        <f t="shared" si="81"/>
        <v>０００１</v>
      </c>
      <c r="G445" s="2" t="str">
        <f>"3620003537"</f>
        <v>3620003537</v>
      </c>
      <c r="H445" s="2" t="str">
        <f t="shared" si="76"/>
        <v>001</v>
      </c>
      <c r="I445" s="2" t="str">
        <f t="shared" si="82"/>
        <v>4100401</v>
      </c>
      <c r="J445" s="2">
        <f>31400</f>
        <v>31400</v>
      </c>
      <c r="K445" s="2" t="str">
        <f t="shared" si="79"/>
        <v>脚</v>
      </c>
      <c r="L445" s="2" t="str">
        <f t="shared" si="83"/>
        <v>3630331</v>
      </c>
      <c r="M445" s="2" t="str">
        <f>""</f>
        <v/>
      </c>
    </row>
    <row r="446" spans="1:13" x14ac:dyDescent="0.15">
      <c r="A446" s="2" t="str">
        <f t="shared" si="77"/>
        <v>1881110500</v>
      </c>
      <c r="B446" s="2" t="str">
        <f t="shared" si="78"/>
        <v>佐伯・区政調整</v>
      </c>
      <c r="C446" s="2" t="str">
        <f t="shared" si="74"/>
        <v>01ｲ00311</v>
      </c>
      <c r="D446" s="2" t="str">
        <f t="shared" si="75"/>
        <v>肘掛椅子</v>
      </c>
      <c r="E446" s="3" t="str">
        <f t="shared" si="80"/>
        <v>肘付</v>
      </c>
      <c r="F446" s="2" t="str">
        <f t="shared" si="81"/>
        <v>０００１</v>
      </c>
      <c r="G446" s="2" t="str">
        <f>"3620003538"</f>
        <v>3620003538</v>
      </c>
      <c r="H446" s="2" t="str">
        <f t="shared" si="76"/>
        <v>001</v>
      </c>
      <c r="I446" s="2" t="str">
        <f t="shared" si="82"/>
        <v>4100401</v>
      </c>
      <c r="J446" s="2">
        <f>31400</f>
        <v>31400</v>
      </c>
      <c r="K446" s="2" t="str">
        <f t="shared" si="79"/>
        <v>脚</v>
      </c>
      <c r="L446" s="2" t="str">
        <f t="shared" si="83"/>
        <v>3630331</v>
      </c>
      <c r="M446" s="2" t="str">
        <f>""</f>
        <v/>
      </c>
    </row>
    <row r="447" spans="1:13" x14ac:dyDescent="0.15">
      <c r="A447" s="2" t="str">
        <f t="shared" si="77"/>
        <v>1881110500</v>
      </c>
      <c r="B447" s="2" t="str">
        <f t="shared" si="78"/>
        <v>佐伯・区政調整</v>
      </c>
      <c r="C447" s="2" t="str">
        <f t="shared" si="74"/>
        <v>01ｲ00311</v>
      </c>
      <c r="D447" s="2" t="str">
        <f t="shared" si="75"/>
        <v>肘掛椅子</v>
      </c>
      <c r="E447" s="3" t="str">
        <f t="shared" si="80"/>
        <v>肘付</v>
      </c>
      <c r="F447" s="2" t="str">
        <f t="shared" si="81"/>
        <v>０００１</v>
      </c>
      <c r="G447" s="2" t="str">
        <f>"3620003539"</f>
        <v>3620003539</v>
      </c>
      <c r="H447" s="2" t="str">
        <f t="shared" si="76"/>
        <v>001</v>
      </c>
      <c r="I447" s="2" t="str">
        <f t="shared" si="82"/>
        <v>4100401</v>
      </c>
      <c r="J447" s="2">
        <f>31400</f>
        <v>31400</v>
      </c>
      <c r="K447" s="2" t="str">
        <f t="shared" si="79"/>
        <v>脚</v>
      </c>
      <c r="L447" s="2" t="str">
        <f t="shared" si="83"/>
        <v>3630331</v>
      </c>
      <c r="M447" s="2" t="str">
        <f>""</f>
        <v/>
      </c>
    </row>
    <row r="448" spans="1:13" x14ac:dyDescent="0.15">
      <c r="A448" s="2" t="str">
        <f t="shared" si="77"/>
        <v>1881110500</v>
      </c>
      <c r="B448" s="2" t="str">
        <f t="shared" si="78"/>
        <v>佐伯・区政調整</v>
      </c>
      <c r="C448" s="2" t="str">
        <f t="shared" si="74"/>
        <v>01ｲ00311</v>
      </c>
      <c r="D448" s="2" t="str">
        <f t="shared" si="75"/>
        <v>肘掛椅子</v>
      </c>
      <c r="E448" s="3" t="str">
        <f t="shared" si="80"/>
        <v>肘付</v>
      </c>
      <c r="F448" s="2" t="str">
        <f t="shared" si="81"/>
        <v>０００１</v>
      </c>
      <c r="G448" s="2" t="str">
        <f>"3620003540"</f>
        <v>3620003540</v>
      </c>
      <c r="H448" s="2" t="str">
        <f t="shared" si="76"/>
        <v>001</v>
      </c>
      <c r="I448" s="2" t="str">
        <f t="shared" si="82"/>
        <v>4100401</v>
      </c>
      <c r="J448" s="2">
        <f>31400</f>
        <v>31400</v>
      </c>
      <c r="K448" s="2" t="str">
        <f t="shared" si="79"/>
        <v>脚</v>
      </c>
      <c r="L448" s="2" t="str">
        <f t="shared" si="83"/>
        <v>3630331</v>
      </c>
      <c r="M448" s="2" t="str">
        <f>""</f>
        <v/>
      </c>
    </row>
    <row r="449" spans="1:13" x14ac:dyDescent="0.15">
      <c r="A449" s="2" t="str">
        <f t="shared" si="77"/>
        <v>1881110500</v>
      </c>
      <c r="B449" s="2" t="str">
        <f t="shared" si="78"/>
        <v>佐伯・区政調整</v>
      </c>
      <c r="C449" s="2" t="str">
        <f t="shared" si="74"/>
        <v>01ｲ00311</v>
      </c>
      <c r="D449" s="2" t="str">
        <f t="shared" si="75"/>
        <v>肘掛椅子</v>
      </c>
      <c r="E449" s="3" t="str">
        <f t="shared" si="80"/>
        <v>肘付</v>
      </c>
      <c r="F449" s="2" t="str">
        <f t="shared" si="81"/>
        <v>０００１</v>
      </c>
      <c r="G449" s="2" t="str">
        <f>"3620003541"</f>
        <v>3620003541</v>
      </c>
      <c r="H449" s="2" t="str">
        <f t="shared" si="76"/>
        <v>001</v>
      </c>
      <c r="I449" s="2" t="str">
        <f t="shared" si="82"/>
        <v>4100401</v>
      </c>
      <c r="J449" s="2">
        <f>31400</f>
        <v>31400</v>
      </c>
      <c r="K449" s="2" t="str">
        <f t="shared" si="79"/>
        <v>脚</v>
      </c>
      <c r="L449" s="2" t="str">
        <f t="shared" si="83"/>
        <v>3630331</v>
      </c>
      <c r="M449" s="2" t="str">
        <f>""</f>
        <v/>
      </c>
    </row>
    <row r="450" spans="1:13" x14ac:dyDescent="0.15">
      <c r="A450" s="2" t="str">
        <f t="shared" si="77"/>
        <v>1881110500</v>
      </c>
      <c r="B450" s="2" t="str">
        <f t="shared" si="78"/>
        <v>佐伯・区政調整</v>
      </c>
      <c r="C450" s="2" t="str">
        <f t="shared" si="74"/>
        <v>01ｲ00311</v>
      </c>
      <c r="D450" s="2" t="str">
        <f t="shared" si="75"/>
        <v>肘掛椅子</v>
      </c>
      <c r="E450" s="3" t="str">
        <f t="shared" si="80"/>
        <v>肘付</v>
      </c>
      <c r="F450" s="2" t="str">
        <f t="shared" si="81"/>
        <v>０００１</v>
      </c>
      <c r="G450" s="2" t="str">
        <f>"3620003542"</f>
        <v>3620003542</v>
      </c>
      <c r="H450" s="2" t="str">
        <f t="shared" si="76"/>
        <v>001</v>
      </c>
      <c r="I450" s="2" t="str">
        <f t="shared" si="82"/>
        <v>4100401</v>
      </c>
      <c r="J450" s="2">
        <f>31400</f>
        <v>31400</v>
      </c>
      <c r="K450" s="2" t="str">
        <f t="shared" si="79"/>
        <v>脚</v>
      </c>
      <c r="L450" s="2" t="str">
        <f t="shared" si="83"/>
        <v>3630331</v>
      </c>
      <c r="M450" s="2" t="str">
        <f>""</f>
        <v/>
      </c>
    </row>
    <row r="451" spans="1:13" x14ac:dyDescent="0.15">
      <c r="A451" s="2" t="str">
        <f t="shared" si="77"/>
        <v>1881110500</v>
      </c>
      <c r="B451" s="2" t="str">
        <f t="shared" si="78"/>
        <v>佐伯・区政調整</v>
      </c>
      <c r="C451" s="2" t="str">
        <f t="shared" si="74"/>
        <v>01ｲ00311</v>
      </c>
      <c r="D451" s="2" t="str">
        <f t="shared" si="75"/>
        <v>肘掛椅子</v>
      </c>
      <c r="E451" s="3" t="str">
        <f t="shared" si="80"/>
        <v>肘付</v>
      </c>
      <c r="F451" s="2" t="str">
        <f t="shared" si="81"/>
        <v>０００１</v>
      </c>
      <c r="G451" s="2" t="str">
        <f>"3620003543"</f>
        <v>3620003543</v>
      </c>
      <c r="H451" s="2" t="str">
        <f t="shared" si="76"/>
        <v>001</v>
      </c>
      <c r="I451" s="2" t="str">
        <f t="shared" si="82"/>
        <v>4100401</v>
      </c>
      <c r="J451" s="2">
        <f>31400</f>
        <v>31400</v>
      </c>
      <c r="K451" s="2" t="str">
        <f t="shared" si="79"/>
        <v>脚</v>
      </c>
      <c r="L451" s="2" t="str">
        <f t="shared" si="83"/>
        <v>3630331</v>
      </c>
      <c r="M451" s="2" t="str">
        <f>""</f>
        <v/>
      </c>
    </row>
    <row r="452" spans="1:13" x14ac:dyDescent="0.15">
      <c r="A452" s="2" t="str">
        <f t="shared" si="77"/>
        <v>1881110500</v>
      </c>
      <c r="B452" s="2" t="str">
        <f t="shared" si="78"/>
        <v>佐伯・区政調整</v>
      </c>
      <c r="C452" s="2" t="str">
        <f t="shared" si="74"/>
        <v>01ｲ00311</v>
      </c>
      <c r="D452" s="2" t="str">
        <f t="shared" si="75"/>
        <v>肘掛椅子</v>
      </c>
      <c r="E452" s="3" t="str">
        <f t="shared" si="80"/>
        <v>肘付</v>
      </c>
      <c r="F452" s="2" t="str">
        <f t="shared" si="81"/>
        <v>０００１</v>
      </c>
      <c r="G452" s="2" t="str">
        <f>"3620003544"</f>
        <v>3620003544</v>
      </c>
      <c r="H452" s="2" t="str">
        <f t="shared" si="76"/>
        <v>001</v>
      </c>
      <c r="I452" s="2" t="str">
        <f t="shared" si="82"/>
        <v>4100401</v>
      </c>
      <c r="J452" s="2">
        <f>31400</f>
        <v>31400</v>
      </c>
      <c r="K452" s="2" t="str">
        <f t="shared" si="79"/>
        <v>脚</v>
      </c>
      <c r="L452" s="2" t="str">
        <f t="shared" si="83"/>
        <v>3630331</v>
      </c>
      <c r="M452" s="2" t="str">
        <f>""</f>
        <v/>
      </c>
    </row>
    <row r="453" spans="1:13" x14ac:dyDescent="0.15">
      <c r="A453" s="2" t="str">
        <f t="shared" si="77"/>
        <v>1881110500</v>
      </c>
      <c r="B453" s="2" t="str">
        <f t="shared" si="78"/>
        <v>佐伯・区政調整</v>
      </c>
      <c r="C453" s="2" t="str">
        <f t="shared" si="74"/>
        <v>01ｲ00311</v>
      </c>
      <c r="D453" s="2" t="str">
        <f t="shared" si="75"/>
        <v>肘掛椅子</v>
      </c>
      <c r="E453" s="3" t="str">
        <f t="shared" si="80"/>
        <v>肘付</v>
      </c>
      <c r="F453" s="2" t="str">
        <f t="shared" si="81"/>
        <v>０００１</v>
      </c>
      <c r="G453" s="2" t="str">
        <f>"3620003545"</f>
        <v>3620003545</v>
      </c>
      <c r="H453" s="2" t="str">
        <f t="shared" si="76"/>
        <v>001</v>
      </c>
      <c r="I453" s="2" t="str">
        <f t="shared" si="82"/>
        <v>4100401</v>
      </c>
      <c r="J453" s="2">
        <f>31400</f>
        <v>31400</v>
      </c>
      <c r="K453" s="2" t="str">
        <f t="shared" si="79"/>
        <v>脚</v>
      </c>
      <c r="L453" s="2" t="str">
        <f t="shared" si="83"/>
        <v>3630331</v>
      </c>
      <c r="M453" s="2" t="str">
        <f>""</f>
        <v/>
      </c>
    </row>
    <row r="454" spans="1:13" x14ac:dyDescent="0.15">
      <c r="A454" s="2" t="str">
        <f t="shared" si="77"/>
        <v>1881110500</v>
      </c>
      <c r="B454" s="2" t="str">
        <f t="shared" si="78"/>
        <v>佐伯・区政調整</v>
      </c>
      <c r="C454" s="2" t="str">
        <f t="shared" si="74"/>
        <v>01ｲ00311</v>
      </c>
      <c r="D454" s="2" t="str">
        <f t="shared" si="75"/>
        <v>肘掛椅子</v>
      </c>
      <c r="E454" s="3" t="str">
        <f t="shared" si="80"/>
        <v>肘付</v>
      </c>
      <c r="F454" s="2" t="str">
        <f t="shared" si="81"/>
        <v>０００１</v>
      </c>
      <c r="G454" s="2" t="str">
        <f>"3620003546"</f>
        <v>3620003546</v>
      </c>
      <c r="H454" s="2" t="str">
        <f t="shared" si="76"/>
        <v>001</v>
      </c>
      <c r="I454" s="2" t="str">
        <f t="shared" si="82"/>
        <v>4100401</v>
      </c>
      <c r="J454" s="2">
        <f>31400</f>
        <v>31400</v>
      </c>
      <c r="K454" s="2" t="str">
        <f t="shared" si="79"/>
        <v>脚</v>
      </c>
      <c r="L454" s="2" t="str">
        <f t="shared" si="83"/>
        <v>3630331</v>
      </c>
      <c r="M454" s="2" t="str">
        <f>""</f>
        <v/>
      </c>
    </row>
    <row r="455" spans="1:13" x14ac:dyDescent="0.15">
      <c r="A455" s="2" t="str">
        <f t="shared" si="77"/>
        <v>1881110500</v>
      </c>
      <c r="B455" s="2" t="str">
        <f t="shared" si="78"/>
        <v>佐伯・区政調整</v>
      </c>
      <c r="C455" s="2" t="str">
        <f t="shared" si="74"/>
        <v>01ｲ00311</v>
      </c>
      <c r="D455" s="2" t="str">
        <f t="shared" si="75"/>
        <v>肘掛椅子</v>
      </c>
      <c r="E455" s="3" t="str">
        <f t="shared" si="80"/>
        <v>肘付</v>
      </c>
      <c r="F455" s="2" t="str">
        <f t="shared" si="81"/>
        <v>０００１</v>
      </c>
      <c r="G455" s="2" t="str">
        <f>"3620003547"</f>
        <v>3620003547</v>
      </c>
      <c r="H455" s="2" t="str">
        <f t="shared" si="76"/>
        <v>001</v>
      </c>
      <c r="I455" s="2" t="str">
        <f t="shared" si="82"/>
        <v>4100401</v>
      </c>
      <c r="J455" s="2">
        <f>31400</f>
        <v>31400</v>
      </c>
      <c r="K455" s="2" t="str">
        <f t="shared" si="79"/>
        <v>脚</v>
      </c>
      <c r="L455" s="2" t="str">
        <f t="shared" si="83"/>
        <v>3630331</v>
      </c>
      <c r="M455" s="2" t="str">
        <f>""</f>
        <v/>
      </c>
    </row>
    <row r="456" spans="1:13" x14ac:dyDescent="0.15">
      <c r="A456" s="2" t="str">
        <f t="shared" si="77"/>
        <v>1881110500</v>
      </c>
      <c r="B456" s="2" t="str">
        <f t="shared" si="78"/>
        <v>佐伯・区政調整</v>
      </c>
      <c r="C456" s="2" t="str">
        <f t="shared" si="74"/>
        <v>01ｲ00311</v>
      </c>
      <c r="D456" s="2" t="str">
        <f t="shared" si="75"/>
        <v>肘掛椅子</v>
      </c>
      <c r="E456" s="3" t="str">
        <f t="shared" si="80"/>
        <v>肘付</v>
      </c>
      <c r="F456" s="2" t="str">
        <f t="shared" si="81"/>
        <v>０００１</v>
      </c>
      <c r="G456" s="2" t="str">
        <f>"3620003548"</f>
        <v>3620003548</v>
      </c>
      <c r="H456" s="2" t="str">
        <f t="shared" si="76"/>
        <v>001</v>
      </c>
      <c r="I456" s="2" t="str">
        <f t="shared" si="82"/>
        <v>4100401</v>
      </c>
      <c r="J456" s="2">
        <f>31400</f>
        <v>31400</v>
      </c>
      <c r="K456" s="2" t="str">
        <f t="shared" si="79"/>
        <v>脚</v>
      </c>
      <c r="L456" s="2" t="str">
        <f t="shared" si="83"/>
        <v>3630331</v>
      </c>
      <c r="M456" s="2" t="str">
        <f>""</f>
        <v/>
      </c>
    </row>
    <row r="457" spans="1:13" x14ac:dyDescent="0.15">
      <c r="A457" s="2" t="str">
        <f t="shared" si="77"/>
        <v>1881110500</v>
      </c>
      <c r="B457" s="2" t="str">
        <f t="shared" si="78"/>
        <v>佐伯・区政調整</v>
      </c>
      <c r="C457" s="2" t="str">
        <f t="shared" si="74"/>
        <v>01ｲ00311</v>
      </c>
      <c r="D457" s="2" t="str">
        <f t="shared" si="75"/>
        <v>肘掛椅子</v>
      </c>
      <c r="E457" s="3" t="str">
        <f t="shared" si="80"/>
        <v>肘付</v>
      </c>
      <c r="F457" s="2" t="str">
        <f t="shared" si="81"/>
        <v>０００１</v>
      </c>
      <c r="G457" s="2" t="str">
        <f>"3620003549"</f>
        <v>3620003549</v>
      </c>
      <c r="H457" s="2" t="str">
        <f t="shared" si="76"/>
        <v>001</v>
      </c>
      <c r="I457" s="2" t="str">
        <f t="shared" si="82"/>
        <v>4100401</v>
      </c>
      <c r="J457" s="2">
        <f>31400</f>
        <v>31400</v>
      </c>
      <c r="K457" s="2" t="str">
        <f t="shared" si="79"/>
        <v>脚</v>
      </c>
      <c r="L457" s="2" t="str">
        <f t="shared" si="83"/>
        <v>3630331</v>
      </c>
      <c r="M457" s="2" t="str">
        <f>""</f>
        <v/>
      </c>
    </row>
    <row r="458" spans="1:13" x14ac:dyDescent="0.15">
      <c r="A458" s="2" t="str">
        <f t="shared" si="77"/>
        <v>1881110500</v>
      </c>
      <c r="B458" s="2" t="str">
        <f t="shared" si="78"/>
        <v>佐伯・区政調整</v>
      </c>
      <c r="C458" s="2" t="str">
        <f t="shared" ref="C458:C521" si="84">"01ｲ00311"</f>
        <v>01ｲ00311</v>
      </c>
      <c r="D458" s="2" t="str">
        <f t="shared" ref="D458:D521" si="85">"肘掛椅子"</f>
        <v>肘掛椅子</v>
      </c>
      <c r="E458" s="3" t="str">
        <f t="shared" si="80"/>
        <v>肘付</v>
      </c>
      <c r="F458" s="2" t="str">
        <f t="shared" si="81"/>
        <v>０００１</v>
      </c>
      <c r="G458" s="2" t="str">
        <f>"3620003550"</f>
        <v>3620003550</v>
      </c>
      <c r="H458" s="2" t="str">
        <f t="shared" ref="H458:H521" si="86">"001"</f>
        <v>001</v>
      </c>
      <c r="I458" s="2" t="str">
        <f t="shared" si="82"/>
        <v>4100401</v>
      </c>
      <c r="J458" s="2">
        <f>31400</f>
        <v>31400</v>
      </c>
      <c r="K458" s="2" t="str">
        <f t="shared" si="79"/>
        <v>脚</v>
      </c>
      <c r="L458" s="2" t="str">
        <f t="shared" si="83"/>
        <v>3630331</v>
      </c>
      <c r="M458" s="2" t="str">
        <f>""</f>
        <v/>
      </c>
    </row>
    <row r="459" spans="1:13" x14ac:dyDescent="0.15">
      <c r="A459" s="2" t="str">
        <f t="shared" si="77"/>
        <v>1881110500</v>
      </c>
      <c r="B459" s="2" t="str">
        <f t="shared" si="78"/>
        <v>佐伯・区政調整</v>
      </c>
      <c r="C459" s="2" t="str">
        <f t="shared" si="84"/>
        <v>01ｲ00311</v>
      </c>
      <c r="D459" s="2" t="str">
        <f t="shared" si="85"/>
        <v>肘掛椅子</v>
      </c>
      <c r="E459" s="3" t="str">
        <f t="shared" si="80"/>
        <v>肘付</v>
      </c>
      <c r="F459" s="2" t="str">
        <f t="shared" si="81"/>
        <v>０００１</v>
      </c>
      <c r="G459" s="2" t="str">
        <f>"3620003551"</f>
        <v>3620003551</v>
      </c>
      <c r="H459" s="2" t="str">
        <f t="shared" si="86"/>
        <v>001</v>
      </c>
      <c r="I459" s="2" t="str">
        <f t="shared" si="82"/>
        <v>4100401</v>
      </c>
      <c r="J459" s="2">
        <f>31400</f>
        <v>31400</v>
      </c>
      <c r="K459" s="2" t="str">
        <f t="shared" si="79"/>
        <v>脚</v>
      </c>
      <c r="L459" s="2" t="str">
        <f t="shared" si="83"/>
        <v>3630331</v>
      </c>
      <c r="M459" s="2" t="str">
        <f>""</f>
        <v/>
      </c>
    </row>
    <row r="460" spans="1:13" x14ac:dyDescent="0.15">
      <c r="A460" s="2" t="str">
        <f t="shared" si="77"/>
        <v>1881110500</v>
      </c>
      <c r="B460" s="2" t="str">
        <f t="shared" si="78"/>
        <v>佐伯・区政調整</v>
      </c>
      <c r="C460" s="2" t="str">
        <f t="shared" si="84"/>
        <v>01ｲ00311</v>
      </c>
      <c r="D460" s="2" t="str">
        <f t="shared" si="85"/>
        <v>肘掛椅子</v>
      </c>
      <c r="E460" s="3" t="str">
        <f t="shared" si="80"/>
        <v>肘付</v>
      </c>
      <c r="F460" s="2" t="str">
        <f t="shared" si="81"/>
        <v>０００１</v>
      </c>
      <c r="G460" s="2" t="str">
        <f>"3620003552"</f>
        <v>3620003552</v>
      </c>
      <c r="H460" s="2" t="str">
        <f t="shared" si="86"/>
        <v>001</v>
      </c>
      <c r="I460" s="2" t="str">
        <f t="shared" si="82"/>
        <v>4100401</v>
      </c>
      <c r="J460" s="2">
        <f>31400</f>
        <v>31400</v>
      </c>
      <c r="K460" s="2" t="str">
        <f t="shared" si="79"/>
        <v>脚</v>
      </c>
      <c r="L460" s="2" t="str">
        <f t="shared" si="83"/>
        <v>3630331</v>
      </c>
      <c r="M460" s="2" t="str">
        <f>""</f>
        <v/>
      </c>
    </row>
    <row r="461" spans="1:13" x14ac:dyDescent="0.15">
      <c r="A461" s="2" t="str">
        <f t="shared" si="77"/>
        <v>1881110500</v>
      </c>
      <c r="B461" s="2" t="str">
        <f t="shared" si="78"/>
        <v>佐伯・区政調整</v>
      </c>
      <c r="C461" s="2" t="str">
        <f t="shared" si="84"/>
        <v>01ｲ00311</v>
      </c>
      <c r="D461" s="2" t="str">
        <f t="shared" si="85"/>
        <v>肘掛椅子</v>
      </c>
      <c r="E461" s="3" t="str">
        <f t="shared" si="80"/>
        <v>肘付</v>
      </c>
      <c r="F461" s="2" t="str">
        <f t="shared" si="81"/>
        <v>０００１</v>
      </c>
      <c r="G461" s="2" t="str">
        <f>"3620003553"</f>
        <v>3620003553</v>
      </c>
      <c r="H461" s="2" t="str">
        <f t="shared" si="86"/>
        <v>001</v>
      </c>
      <c r="I461" s="2" t="str">
        <f t="shared" si="82"/>
        <v>4100401</v>
      </c>
      <c r="J461" s="2">
        <f>31400</f>
        <v>31400</v>
      </c>
      <c r="K461" s="2" t="str">
        <f t="shared" si="79"/>
        <v>脚</v>
      </c>
      <c r="L461" s="2" t="str">
        <f t="shared" si="83"/>
        <v>3630331</v>
      </c>
      <c r="M461" s="2" t="str">
        <f>""</f>
        <v/>
      </c>
    </row>
    <row r="462" spans="1:13" x14ac:dyDescent="0.15">
      <c r="A462" s="2" t="str">
        <f t="shared" si="77"/>
        <v>1881110500</v>
      </c>
      <c r="B462" s="2" t="str">
        <f t="shared" si="78"/>
        <v>佐伯・区政調整</v>
      </c>
      <c r="C462" s="2" t="str">
        <f t="shared" si="84"/>
        <v>01ｲ00311</v>
      </c>
      <c r="D462" s="2" t="str">
        <f t="shared" si="85"/>
        <v>肘掛椅子</v>
      </c>
      <c r="E462" s="3" t="str">
        <f t="shared" si="80"/>
        <v>肘付</v>
      </c>
      <c r="F462" s="2" t="str">
        <f t="shared" si="81"/>
        <v>０００１</v>
      </c>
      <c r="G462" s="2" t="str">
        <f>"3620003554"</f>
        <v>3620003554</v>
      </c>
      <c r="H462" s="2" t="str">
        <f t="shared" si="86"/>
        <v>001</v>
      </c>
      <c r="I462" s="2" t="str">
        <f t="shared" si="82"/>
        <v>4100401</v>
      </c>
      <c r="J462" s="2">
        <f>31400</f>
        <v>31400</v>
      </c>
      <c r="K462" s="2" t="str">
        <f t="shared" si="79"/>
        <v>脚</v>
      </c>
      <c r="L462" s="2" t="str">
        <f t="shared" si="83"/>
        <v>3630331</v>
      </c>
      <c r="M462" s="2" t="str">
        <f>""</f>
        <v/>
      </c>
    </row>
    <row r="463" spans="1:13" x14ac:dyDescent="0.15">
      <c r="A463" s="2" t="str">
        <f t="shared" si="77"/>
        <v>1881110500</v>
      </c>
      <c r="B463" s="2" t="str">
        <f t="shared" si="78"/>
        <v>佐伯・区政調整</v>
      </c>
      <c r="C463" s="2" t="str">
        <f t="shared" si="84"/>
        <v>01ｲ00311</v>
      </c>
      <c r="D463" s="2" t="str">
        <f t="shared" si="85"/>
        <v>肘掛椅子</v>
      </c>
      <c r="E463" s="3" t="str">
        <f t="shared" si="80"/>
        <v>肘付</v>
      </c>
      <c r="F463" s="2" t="str">
        <f t="shared" si="81"/>
        <v>０００１</v>
      </c>
      <c r="G463" s="2" t="str">
        <f>"3620003555"</f>
        <v>3620003555</v>
      </c>
      <c r="H463" s="2" t="str">
        <f t="shared" si="86"/>
        <v>001</v>
      </c>
      <c r="I463" s="2" t="str">
        <f t="shared" si="82"/>
        <v>4100401</v>
      </c>
      <c r="J463" s="2">
        <f>31400</f>
        <v>31400</v>
      </c>
      <c r="K463" s="2" t="str">
        <f t="shared" si="79"/>
        <v>脚</v>
      </c>
      <c r="L463" s="2" t="str">
        <f t="shared" si="83"/>
        <v>3630331</v>
      </c>
      <c r="M463" s="2" t="str">
        <f>""</f>
        <v/>
      </c>
    </row>
    <row r="464" spans="1:13" x14ac:dyDescent="0.15">
      <c r="A464" s="2" t="str">
        <f t="shared" si="77"/>
        <v>1881110500</v>
      </c>
      <c r="B464" s="2" t="str">
        <f t="shared" si="78"/>
        <v>佐伯・区政調整</v>
      </c>
      <c r="C464" s="2" t="str">
        <f t="shared" si="84"/>
        <v>01ｲ00311</v>
      </c>
      <c r="D464" s="2" t="str">
        <f t="shared" si="85"/>
        <v>肘掛椅子</v>
      </c>
      <c r="E464" s="3" t="str">
        <f t="shared" si="80"/>
        <v>肘付</v>
      </c>
      <c r="F464" s="2" t="str">
        <f t="shared" si="81"/>
        <v>０００１</v>
      </c>
      <c r="G464" s="2" t="str">
        <f>"3620003556"</f>
        <v>3620003556</v>
      </c>
      <c r="H464" s="2" t="str">
        <f t="shared" si="86"/>
        <v>001</v>
      </c>
      <c r="I464" s="2" t="str">
        <f t="shared" si="82"/>
        <v>4100401</v>
      </c>
      <c r="J464" s="2">
        <f>31400</f>
        <v>31400</v>
      </c>
      <c r="K464" s="2" t="str">
        <f t="shared" si="79"/>
        <v>脚</v>
      </c>
      <c r="L464" s="2" t="str">
        <f t="shared" si="83"/>
        <v>3630331</v>
      </c>
      <c r="M464" s="2" t="str">
        <f>""</f>
        <v/>
      </c>
    </row>
    <row r="465" spans="1:13" x14ac:dyDescent="0.15">
      <c r="A465" s="2" t="str">
        <f t="shared" si="77"/>
        <v>1881110500</v>
      </c>
      <c r="B465" s="2" t="str">
        <f t="shared" si="78"/>
        <v>佐伯・区政調整</v>
      </c>
      <c r="C465" s="2" t="str">
        <f t="shared" si="84"/>
        <v>01ｲ00311</v>
      </c>
      <c r="D465" s="2" t="str">
        <f t="shared" si="85"/>
        <v>肘掛椅子</v>
      </c>
      <c r="E465" s="3" t="str">
        <f t="shared" si="80"/>
        <v>肘付</v>
      </c>
      <c r="F465" s="2" t="str">
        <f t="shared" si="81"/>
        <v>０００１</v>
      </c>
      <c r="G465" s="2" t="str">
        <f>"3620003557"</f>
        <v>3620003557</v>
      </c>
      <c r="H465" s="2" t="str">
        <f t="shared" si="86"/>
        <v>001</v>
      </c>
      <c r="I465" s="2" t="str">
        <f t="shared" si="82"/>
        <v>4100401</v>
      </c>
      <c r="J465" s="2">
        <f>31400</f>
        <v>31400</v>
      </c>
      <c r="K465" s="2" t="str">
        <f t="shared" si="79"/>
        <v>脚</v>
      </c>
      <c r="L465" s="2" t="str">
        <f t="shared" si="83"/>
        <v>3630331</v>
      </c>
      <c r="M465" s="2" t="str">
        <f>""</f>
        <v/>
      </c>
    </row>
    <row r="466" spans="1:13" x14ac:dyDescent="0.15">
      <c r="A466" s="2" t="str">
        <f t="shared" si="77"/>
        <v>1881110500</v>
      </c>
      <c r="B466" s="2" t="str">
        <f t="shared" si="78"/>
        <v>佐伯・区政調整</v>
      </c>
      <c r="C466" s="2" t="str">
        <f t="shared" si="84"/>
        <v>01ｲ00311</v>
      </c>
      <c r="D466" s="2" t="str">
        <f t="shared" si="85"/>
        <v>肘掛椅子</v>
      </c>
      <c r="E466" s="3" t="str">
        <f t="shared" si="80"/>
        <v>肘付</v>
      </c>
      <c r="F466" s="2" t="str">
        <f t="shared" si="81"/>
        <v>０００１</v>
      </c>
      <c r="G466" s="2" t="str">
        <f>"3620003558"</f>
        <v>3620003558</v>
      </c>
      <c r="H466" s="2" t="str">
        <f t="shared" si="86"/>
        <v>001</v>
      </c>
      <c r="I466" s="2" t="str">
        <f t="shared" si="82"/>
        <v>4100401</v>
      </c>
      <c r="J466" s="2">
        <f>31400</f>
        <v>31400</v>
      </c>
      <c r="K466" s="2" t="str">
        <f t="shared" si="79"/>
        <v>脚</v>
      </c>
      <c r="L466" s="2" t="str">
        <f t="shared" si="83"/>
        <v>3630331</v>
      </c>
      <c r="M466" s="2" t="str">
        <f>""</f>
        <v/>
      </c>
    </row>
    <row r="467" spans="1:13" x14ac:dyDescent="0.15">
      <c r="A467" s="2" t="str">
        <f t="shared" si="77"/>
        <v>1881110500</v>
      </c>
      <c r="B467" s="2" t="str">
        <f t="shared" si="78"/>
        <v>佐伯・区政調整</v>
      </c>
      <c r="C467" s="2" t="str">
        <f t="shared" si="84"/>
        <v>01ｲ00311</v>
      </c>
      <c r="D467" s="2" t="str">
        <f t="shared" si="85"/>
        <v>肘掛椅子</v>
      </c>
      <c r="E467" s="3" t="str">
        <f t="shared" si="80"/>
        <v>肘付</v>
      </c>
      <c r="F467" s="2" t="str">
        <f t="shared" si="81"/>
        <v>０００１</v>
      </c>
      <c r="G467" s="2" t="str">
        <f>"3620003559"</f>
        <v>3620003559</v>
      </c>
      <c r="H467" s="2" t="str">
        <f t="shared" si="86"/>
        <v>001</v>
      </c>
      <c r="I467" s="2" t="str">
        <f t="shared" si="82"/>
        <v>4100401</v>
      </c>
      <c r="J467" s="2">
        <f>31400</f>
        <v>31400</v>
      </c>
      <c r="K467" s="2" t="str">
        <f t="shared" si="79"/>
        <v>脚</v>
      </c>
      <c r="L467" s="2" t="str">
        <f t="shared" si="83"/>
        <v>3630331</v>
      </c>
      <c r="M467" s="2" t="str">
        <f>""</f>
        <v/>
      </c>
    </row>
    <row r="468" spans="1:13" x14ac:dyDescent="0.15">
      <c r="A468" s="2" t="str">
        <f t="shared" si="77"/>
        <v>1881110500</v>
      </c>
      <c r="B468" s="2" t="str">
        <f t="shared" si="78"/>
        <v>佐伯・区政調整</v>
      </c>
      <c r="C468" s="2" t="str">
        <f t="shared" si="84"/>
        <v>01ｲ00311</v>
      </c>
      <c r="D468" s="2" t="str">
        <f t="shared" si="85"/>
        <v>肘掛椅子</v>
      </c>
      <c r="E468" s="3" t="str">
        <f t="shared" si="80"/>
        <v>肘付</v>
      </c>
      <c r="F468" s="2" t="str">
        <f t="shared" si="81"/>
        <v>０００１</v>
      </c>
      <c r="G468" s="2" t="str">
        <f>"3620003560"</f>
        <v>3620003560</v>
      </c>
      <c r="H468" s="2" t="str">
        <f t="shared" si="86"/>
        <v>001</v>
      </c>
      <c r="I468" s="2" t="str">
        <f t="shared" si="82"/>
        <v>4100401</v>
      </c>
      <c r="J468" s="2">
        <f>31400</f>
        <v>31400</v>
      </c>
      <c r="K468" s="2" t="str">
        <f t="shared" si="79"/>
        <v>脚</v>
      </c>
      <c r="L468" s="2" t="str">
        <f t="shared" si="83"/>
        <v>3630331</v>
      </c>
      <c r="M468" s="2" t="str">
        <f>""</f>
        <v/>
      </c>
    </row>
    <row r="469" spans="1:13" x14ac:dyDescent="0.15">
      <c r="A469" s="2" t="str">
        <f t="shared" si="77"/>
        <v>1881110500</v>
      </c>
      <c r="B469" s="2" t="str">
        <f t="shared" si="78"/>
        <v>佐伯・区政調整</v>
      </c>
      <c r="C469" s="2" t="str">
        <f t="shared" si="84"/>
        <v>01ｲ00311</v>
      </c>
      <c r="D469" s="2" t="str">
        <f t="shared" si="85"/>
        <v>肘掛椅子</v>
      </c>
      <c r="E469" s="3" t="str">
        <f t="shared" si="80"/>
        <v>肘付</v>
      </c>
      <c r="F469" s="2" t="str">
        <f t="shared" si="81"/>
        <v>０００１</v>
      </c>
      <c r="G469" s="2" t="str">
        <f>"3620003561"</f>
        <v>3620003561</v>
      </c>
      <c r="H469" s="2" t="str">
        <f t="shared" si="86"/>
        <v>001</v>
      </c>
      <c r="I469" s="2" t="str">
        <f t="shared" si="82"/>
        <v>4100401</v>
      </c>
      <c r="J469" s="2">
        <f>31400</f>
        <v>31400</v>
      </c>
      <c r="K469" s="2" t="str">
        <f t="shared" si="79"/>
        <v>脚</v>
      </c>
      <c r="L469" s="2" t="str">
        <f t="shared" si="83"/>
        <v>3630331</v>
      </c>
      <c r="M469" s="2" t="str">
        <f>""</f>
        <v/>
      </c>
    </row>
    <row r="470" spans="1:13" x14ac:dyDescent="0.15">
      <c r="A470" s="2" t="str">
        <f t="shared" si="77"/>
        <v>1881110500</v>
      </c>
      <c r="B470" s="2" t="str">
        <f t="shared" si="78"/>
        <v>佐伯・区政調整</v>
      </c>
      <c r="C470" s="2" t="str">
        <f t="shared" si="84"/>
        <v>01ｲ00311</v>
      </c>
      <c r="D470" s="2" t="str">
        <f t="shared" si="85"/>
        <v>肘掛椅子</v>
      </c>
      <c r="E470" s="3" t="str">
        <f t="shared" si="80"/>
        <v>肘付</v>
      </c>
      <c r="F470" s="2" t="str">
        <f t="shared" si="81"/>
        <v>０００１</v>
      </c>
      <c r="G470" s="2" t="str">
        <f>"3620003562"</f>
        <v>3620003562</v>
      </c>
      <c r="H470" s="2" t="str">
        <f t="shared" si="86"/>
        <v>001</v>
      </c>
      <c r="I470" s="2" t="str">
        <f t="shared" si="82"/>
        <v>4100401</v>
      </c>
      <c r="J470" s="2">
        <f>31400</f>
        <v>31400</v>
      </c>
      <c r="K470" s="2" t="str">
        <f t="shared" si="79"/>
        <v>脚</v>
      </c>
      <c r="L470" s="2" t="str">
        <f t="shared" si="83"/>
        <v>3630331</v>
      </c>
      <c r="M470" s="2" t="str">
        <f>""</f>
        <v/>
      </c>
    </row>
    <row r="471" spans="1:13" x14ac:dyDescent="0.15">
      <c r="A471" s="2" t="str">
        <f t="shared" si="77"/>
        <v>1881110500</v>
      </c>
      <c r="B471" s="2" t="str">
        <f t="shared" si="78"/>
        <v>佐伯・区政調整</v>
      </c>
      <c r="C471" s="2" t="str">
        <f t="shared" si="84"/>
        <v>01ｲ00311</v>
      </c>
      <c r="D471" s="2" t="str">
        <f t="shared" si="85"/>
        <v>肘掛椅子</v>
      </c>
      <c r="E471" s="3" t="str">
        <f t="shared" si="80"/>
        <v>肘付</v>
      </c>
      <c r="F471" s="2" t="str">
        <f t="shared" si="81"/>
        <v>０００１</v>
      </c>
      <c r="G471" s="2" t="str">
        <f>"3620003563"</f>
        <v>3620003563</v>
      </c>
      <c r="H471" s="2" t="str">
        <f t="shared" si="86"/>
        <v>001</v>
      </c>
      <c r="I471" s="2" t="str">
        <f t="shared" si="82"/>
        <v>4100401</v>
      </c>
      <c r="J471" s="2">
        <f>31400</f>
        <v>31400</v>
      </c>
      <c r="K471" s="2" t="str">
        <f t="shared" si="79"/>
        <v>脚</v>
      </c>
      <c r="L471" s="2" t="str">
        <f t="shared" si="83"/>
        <v>3630331</v>
      </c>
      <c r="M471" s="2" t="str">
        <f>""</f>
        <v/>
      </c>
    </row>
    <row r="472" spans="1:13" x14ac:dyDescent="0.15">
      <c r="A472" s="2" t="str">
        <f t="shared" si="77"/>
        <v>1881110500</v>
      </c>
      <c r="B472" s="2" t="str">
        <f t="shared" si="78"/>
        <v>佐伯・区政調整</v>
      </c>
      <c r="C472" s="2" t="str">
        <f t="shared" si="84"/>
        <v>01ｲ00311</v>
      </c>
      <c r="D472" s="2" t="str">
        <f t="shared" si="85"/>
        <v>肘掛椅子</v>
      </c>
      <c r="E472" s="3" t="str">
        <f t="shared" si="80"/>
        <v>肘付</v>
      </c>
      <c r="F472" s="2" t="str">
        <f t="shared" si="81"/>
        <v>０００１</v>
      </c>
      <c r="G472" s="2" t="str">
        <f>"3620003564"</f>
        <v>3620003564</v>
      </c>
      <c r="H472" s="2" t="str">
        <f t="shared" si="86"/>
        <v>001</v>
      </c>
      <c r="I472" s="2" t="str">
        <f t="shared" si="82"/>
        <v>4100401</v>
      </c>
      <c r="J472" s="2">
        <f>31400</f>
        <v>31400</v>
      </c>
      <c r="K472" s="2" t="str">
        <f t="shared" si="79"/>
        <v>脚</v>
      </c>
      <c r="L472" s="2" t="str">
        <f t="shared" si="83"/>
        <v>3630331</v>
      </c>
      <c r="M472" s="2" t="str">
        <f>""</f>
        <v/>
      </c>
    </row>
    <row r="473" spans="1:13" x14ac:dyDescent="0.15">
      <c r="A473" s="2" t="str">
        <f t="shared" si="77"/>
        <v>1881110500</v>
      </c>
      <c r="B473" s="2" t="str">
        <f t="shared" si="78"/>
        <v>佐伯・区政調整</v>
      </c>
      <c r="C473" s="2" t="str">
        <f t="shared" si="84"/>
        <v>01ｲ00311</v>
      </c>
      <c r="D473" s="2" t="str">
        <f t="shared" si="85"/>
        <v>肘掛椅子</v>
      </c>
      <c r="E473" s="3" t="str">
        <f t="shared" si="80"/>
        <v>肘付</v>
      </c>
      <c r="F473" s="2" t="str">
        <f t="shared" si="81"/>
        <v>０００１</v>
      </c>
      <c r="G473" s="2" t="str">
        <f>"3620003565"</f>
        <v>3620003565</v>
      </c>
      <c r="H473" s="2" t="str">
        <f t="shared" si="86"/>
        <v>001</v>
      </c>
      <c r="I473" s="2" t="str">
        <f t="shared" si="82"/>
        <v>4100401</v>
      </c>
      <c r="J473" s="2">
        <f>31400</f>
        <v>31400</v>
      </c>
      <c r="K473" s="2" t="str">
        <f t="shared" si="79"/>
        <v>脚</v>
      </c>
      <c r="L473" s="2" t="str">
        <f t="shared" si="83"/>
        <v>3630331</v>
      </c>
      <c r="M473" s="2" t="str">
        <f>""</f>
        <v/>
      </c>
    </row>
    <row r="474" spans="1:13" x14ac:dyDescent="0.15">
      <c r="A474" s="2" t="str">
        <f t="shared" ref="A474:A537" si="87">"1881110500"</f>
        <v>1881110500</v>
      </c>
      <c r="B474" s="2" t="str">
        <f t="shared" ref="B474:B537" si="88">"佐伯・区政調整"</f>
        <v>佐伯・区政調整</v>
      </c>
      <c r="C474" s="2" t="str">
        <f t="shared" si="84"/>
        <v>01ｲ00311</v>
      </c>
      <c r="D474" s="2" t="str">
        <f t="shared" si="85"/>
        <v>肘掛椅子</v>
      </c>
      <c r="E474" s="3" t="str">
        <f t="shared" si="80"/>
        <v>肘付</v>
      </c>
      <c r="F474" s="2" t="str">
        <f t="shared" si="81"/>
        <v>０００１</v>
      </c>
      <c r="G474" s="2" t="str">
        <f>"3620003566"</f>
        <v>3620003566</v>
      </c>
      <c r="H474" s="2" t="str">
        <f t="shared" si="86"/>
        <v>001</v>
      </c>
      <c r="I474" s="2" t="str">
        <f t="shared" si="82"/>
        <v>4100401</v>
      </c>
      <c r="J474" s="2">
        <f>31400</f>
        <v>31400</v>
      </c>
      <c r="K474" s="2" t="str">
        <f t="shared" ref="K474:K537" si="89">"脚"</f>
        <v>脚</v>
      </c>
      <c r="L474" s="2" t="str">
        <f t="shared" si="83"/>
        <v>3630331</v>
      </c>
      <c r="M474" s="2" t="str">
        <f>""</f>
        <v/>
      </c>
    </row>
    <row r="475" spans="1:13" x14ac:dyDescent="0.15">
      <c r="A475" s="2" t="str">
        <f t="shared" si="87"/>
        <v>1881110500</v>
      </c>
      <c r="B475" s="2" t="str">
        <f t="shared" si="88"/>
        <v>佐伯・区政調整</v>
      </c>
      <c r="C475" s="2" t="str">
        <f t="shared" si="84"/>
        <v>01ｲ00311</v>
      </c>
      <c r="D475" s="2" t="str">
        <f t="shared" si="85"/>
        <v>肘掛椅子</v>
      </c>
      <c r="E475" s="3" t="str">
        <f t="shared" si="80"/>
        <v>肘付</v>
      </c>
      <c r="F475" s="2" t="str">
        <f t="shared" si="81"/>
        <v>０００１</v>
      </c>
      <c r="G475" s="2" t="str">
        <f>"3620003567"</f>
        <v>3620003567</v>
      </c>
      <c r="H475" s="2" t="str">
        <f t="shared" si="86"/>
        <v>001</v>
      </c>
      <c r="I475" s="2" t="str">
        <f t="shared" si="82"/>
        <v>4100401</v>
      </c>
      <c r="J475" s="2">
        <f>31400</f>
        <v>31400</v>
      </c>
      <c r="K475" s="2" t="str">
        <f t="shared" si="89"/>
        <v>脚</v>
      </c>
      <c r="L475" s="2" t="str">
        <f t="shared" si="83"/>
        <v>3630331</v>
      </c>
      <c r="M475" s="2" t="str">
        <f>""</f>
        <v/>
      </c>
    </row>
    <row r="476" spans="1:13" x14ac:dyDescent="0.15">
      <c r="A476" s="2" t="str">
        <f t="shared" si="87"/>
        <v>1881110500</v>
      </c>
      <c r="B476" s="2" t="str">
        <f t="shared" si="88"/>
        <v>佐伯・区政調整</v>
      </c>
      <c r="C476" s="2" t="str">
        <f t="shared" si="84"/>
        <v>01ｲ00311</v>
      </c>
      <c r="D476" s="2" t="str">
        <f t="shared" si="85"/>
        <v>肘掛椅子</v>
      </c>
      <c r="E476" s="3" t="str">
        <f t="shared" si="80"/>
        <v>肘付</v>
      </c>
      <c r="F476" s="2" t="str">
        <f t="shared" si="81"/>
        <v>０００１</v>
      </c>
      <c r="G476" s="2" t="str">
        <f>"3620003568"</f>
        <v>3620003568</v>
      </c>
      <c r="H476" s="2" t="str">
        <f t="shared" si="86"/>
        <v>001</v>
      </c>
      <c r="I476" s="2" t="str">
        <f t="shared" si="82"/>
        <v>4100401</v>
      </c>
      <c r="J476" s="2">
        <f>31400</f>
        <v>31400</v>
      </c>
      <c r="K476" s="2" t="str">
        <f t="shared" si="89"/>
        <v>脚</v>
      </c>
      <c r="L476" s="2" t="str">
        <f t="shared" si="83"/>
        <v>3630331</v>
      </c>
      <c r="M476" s="2" t="str">
        <f>""</f>
        <v/>
      </c>
    </row>
    <row r="477" spans="1:13" x14ac:dyDescent="0.15">
      <c r="A477" s="2" t="str">
        <f t="shared" si="87"/>
        <v>1881110500</v>
      </c>
      <c r="B477" s="2" t="str">
        <f t="shared" si="88"/>
        <v>佐伯・区政調整</v>
      </c>
      <c r="C477" s="2" t="str">
        <f t="shared" si="84"/>
        <v>01ｲ00311</v>
      </c>
      <c r="D477" s="2" t="str">
        <f t="shared" si="85"/>
        <v>肘掛椅子</v>
      </c>
      <c r="E477" s="3" t="str">
        <f t="shared" si="80"/>
        <v>肘付</v>
      </c>
      <c r="F477" s="2" t="str">
        <f t="shared" si="81"/>
        <v>０００１</v>
      </c>
      <c r="G477" s="2" t="str">
        <f>"3620003569"</f>
        <v>3620003569</v>
      </c>
      <c r="H477" s="2" t="str">
        <f t="shared" si="86"/>
        <v>001</v>
      </c>
      <c r="I477" s="2" t="str">
        <f t="shared" si="82"/>
        <v>4100401</v>
      </c>
      <c r="J477" s="2">
        <f>31400</f>
        <v>31400</v>
      </c>
      <c r="K477" s="2" t="str">
        <f t="shared" si="89"/>
        <v>脚</v>
      </c>
      <c r="L477" s="2" t="str">
        <f t="shared" si="83"/>
        <v>3630331</v>
      </c>
      <c r="M477" s="2" t="str">
        <f>""</f>
        <v/>
      </c>
    </row>
    <row r="478" spans="1:13" x14ac:dyDescent="0.15">
      <c r="A478" s="2" t="str">
        <f t="shared" si="87"/>
        <v>1881110500</v>
      </c>
      <c r="B478" s="2" t="str">
        <f t="shared" si="88"/>
        <v>佐伯・区政調整</v>
      </c>
      <c r="C478" s="2" t="str">
        <f t="shared" si="84"/>
        <v>01ｲ00311</v>
      </c>
      <c r="D478" s="2" t="str">
        <f t="shared" si="85"/>
        <v>肘掛椅子</v>
      </c>
      <c r="E478" s="3" t="str">
        <f t="shared" si="80"/>
        <v>肘付</v>
      </c>
      <c r="F478" s="2" t="str">
        <f t="shared" si="81"/>
        <v>０００１</v>
      </c>
      <c r="G478" s="2" t="str">
        <f>"3620003570"</f>
        <v>3620003570</v>
      </c>
      <c r="H478" s="2" t="str">
        <f t="shared" si="86"/>
        <v>001</v>
      </c>
      <c r="I478" s="2" t="str">
        <f t="shared" si="82"/>
        <v>4100401</v>
      </c>
      <c r="J478" s="2">
        <f>31400</f>
        <v>31400</v>
      </c>
      <c r="K478" s="2" t="str">
        <f t="shared" si="89"/>
        <v>脚</v>
      </c>
      <c r="L478" s="2" t="str">
        <f t="shared" si="83"/>
        <v>3630331</v>
      </c>
      <c r="M478" s="2" t="str">
        <f>""</f>
        <v/>
      </c>
    </row>
    <row r="479" spans="1:13" x14ac:dyDescent="0.15">
      <c r="A479" s="2" t="str">
        <f t="shared" si="87"/>
        <v>1881110500</v>
      </c>
      <c r="B479" s="2" t="str">
        <f t="shared" si="88"/>
        <v>佐伯・区政調整</v>
      </c>
      <c r="C479" s="2" t="str">
        <f t="shared" si="84"/>
        <v>01ｲ00311</v>
      </c>
      <c r="D479" s="2" t="str">
        <f t="shared" si="85"/>
        <v>肘掛椅子</v>
      </c>
      <c r="E479" s="3" t="str">
        <f t="shared" si="80"/>
        <v>肘付</v>
      </c>
      <c r="F479" s="2" t="str">
        <f t="shared" si="81"/>
        <v>０００１</v>
      </c>
      <c r="G479" s="2" t="str">
        <f>"3620003571"</f>
        <v>3620003571</v>
      </c>
      <c r="H479" s="2" t="str">
        <f t="shared" si="86"/>
        <v>001</v>
      </c>
      <c r="I479" s="2" t="str">
        <f t="shared" si="82"/>
        <v>4100401</v>
      </c>
      <c r="J479" s="2">
        <f>31400</f>
        <v>31400</v>
      </c>
      <c r="K479" s="2" t="str">
        <f t="shared" si="89"/>
        <v>脚</v>
      </c>
      <c r="L479" s="2" t="str">
        <f t="shared" si="83"/>
        <v>3630331</v>
      </c>
      <c r="M479" s="2" t="str">
        <f>""</f>
        <v/>
      </c>
    </row>
    <row r="480" spans="1:13" x14ac:dyDescent="0.15">
      <c r="A480" s="2" t="str">
        <f t="shared" si="87"/>
        <v>1881110500</v>
      </c>
      <c r="B480" s="2" t="str">
        <f t="shared" si="88"/>
        <v>佐伯・区政調整</v>
      </c>
      <c r="C480" s="2" t="str">
        <f t="shared" si="84"/>
        <v>01ｲ00311</v>
      </c>
      <c r="D480" s="2" t="str">
        <f t="shared" si="85"/>
        <v>肘掛椅子</v>
      </c>
      <c r="E480" s="3" t="str">
        <f t="shared" si="80"/>
        <v>肘付</v>
      </c>
      <c r="F480" s="2" t="str">
        <f t="shared" si="81"/>
        <v>０００１</v>
      </c>
      <c r="G480" s="2" t="str">
        <f>"3620003572"</f>
        <v>3620003572</v>
      </c>
      <c r="H480" s="2" t="str">
        <f t="shared" si="86"/>
        <v>001</v>
      </c>
      <c r="I480" s="2" t="str">
        <f t="shared" si="82"/>
        <v>4100401</v>
      </c>
      <c r="J480" s="2">
        <f>31400</f>
        <v>31400</v>
      </c>
      <c r="K480" s="2" t="str">
        <f t="shared" si="89"/>
        <v>脚</v>
      </c>
      <c r="L480" s="2" t="str">
        <f t="shared" si="83"/>
        <v>3630331</v>
      </c>
      <c r="M480" s="2" t="str">
        <f>""</f>
        <v/>
      </c>
    </row>
    <row r="481" spans="1:13" x14ac:dyDescent="0.15">
      <c r="A481" s="2" t="str">
        <f t="shared" si="87"/>
        <v>1881110500</v>
      </c>
      <c r="B481" s="2" t="str">
        <f t="shared" si="88"/>
        <v>佐伯・区政調整</v>
      </c>
      <c r="C481" s="2" t="str">
        <f t="shared" si="84"/>
        <v>01ｲ00311</v>
      </c>
      <c r="D481" s="2" t="str">
        <f t="shared" si="85"/>
        <v>肘掛椅子</v>
      </c>
      <c r="E481" s="3" t="str">
        <f t="shared" si="80"/>
        <v>肘付</v>
      </c>
      <c r="F481" s="2" t="str">
        <f t="shared" si="81"/>
        <v>０００１</v>
      </c>
      <c r="G481" s="2" t="str">
        <f>"3620003573"</f>
        <v>3620003573</v>
      </c>
      <c r="H481" s="2" t="str">
        <f t="shared" si="86"/>
        <v>001</v>
      </c>
      <c r="I481" s="2" t="str">
        <f t="shared" si="82"/>
        <v>4100401</v>
      </c>
      <c r="J481" s="2">
        <f>31400</f>
        <v>31400</v>
      </c>
      <c r="K481" s="2" t="str">
        <f t="shared" si="89"/>
        <v>脚</v>
      </c>
      <c r="L481" s="2" t="str">
        <f t="shared" si="83"/>
        <v>3630331</v>
      </c>
      <c r="M481" s="2" t="str">
        <f>""</f>
        <v/>
      </c>
    </row>
    <row r="482" spans="1:13" x14ac:dyDescent="0.15">
      <c r="A482" s="2" t="str">
        <f t="shared" si="87"/>
        <v>1881110500</v>
      </c>
      <c r="B482" s="2" t="str">
        <f t="shared" si="88"/>
        <v>佐伯・区政調整</v>
      </c>
      <c r="C482" s="2" t="str">
        <f t="shared" si="84"/>
        <v>01ｲ00311</v>
      </c>
      <c r="D482" s="2" t="str">
        <f t="shared" si="85"/>
        <v>肘掛椅子</v>
      </c>
      <c r="E482" s="3" t="str">
        <f t="shared" ref="E482:E545" si="90">"肘付"</f>
        <v>肘付</v>
      </c>
      <c r="F482" s="2" t="str">
        <f t="shared" ref="F482:F545" si="91">"０００１"</f>
        <v>０００１</v>
      </c>
      <c r="G482" s="2" t="str">
        <f>"3620003574"</f>
        <v>3620003574</v>
      </c>
      <c r="H482" s="2" t="str">
        <f t="shared" si="86"/>
        <v>001</v>
      </c>
      <c r="I482" s="2" t="str">
        <f t="shared" ref="I482:I545" si="92">"4100401"</f>
        <v>4100401</v>
      </c>
      <c r="J482" s="2">
        <f>31400</f>
        <v>31400</v>
      </c>
      <c r="K482" s="2" t="str">
        <f t="shared" si="89"/>
        <v>脚</v>
      </c>
      <c r="L482" s="2" t="str">
        <f t="shared" ref="L482:L545" si="93">"3630331"</f>
        <v>3630331</v>
      </c>
      <c r="M482" s="2" t="str">
        <f>""</f>
        <v/>
      </c>
    </row>
    <row r="483" spans="1:13" x14ac:dyDescent="0.15">
      <c r="A483" s="2" t="str">
        <f t="shared" si="87"/>
        <v>1881110500</v>
      </c>
      <c r="B483" s="2" t="str">
        <f t="shared" si="88"/>
        <v>佐伯・区政調整</v>
      </c>
      <c r="C483" s="2" t="str">
        <f t="shared" si="84"/>
        <v>01ｲ00311</v>
      </c>
      <c r="D483" s="2" t="str">
        <f t="shared" si="85"/>
        <v>肘掛椅子</v>
      </c>
      <c r="E483" s="3" t="str">
        <f t="shared" si="90"/>
        <v>肘付</v>
      </c>
      <c r="F483" s="2" t="str">
        <f t="shared" si="91"/>
        <v>０００１</v>
      </c>
      <c r="G483" s="2" t="str">
        <f>"3620003575"</f>
        <v>3620003575</v>
      </c>
      <c r="H483" s="2" t="str">
        <f t="shared" si="86"/>
        <v>001</v>
      </c>
      <c r="I483" s="2" t="str">
        <f t="shared" si="92"/>
        <v>4100401</v>
      </c>
      <c r="J483" s="2">
        <f>31400</f>
        <v>31400</v>
      </c>
      <c r="K483" s="2" t="str">
        <f t="shared" si="89"/>
        <v>脚</v>
      </c>
      <c r="L483" s="2" t="str">
        <f t="shared" si="93"/>
        <v>3630331</v>
      </c>
      <c r="M483" s="2" t="str">
        <f>""</f>
        <v/>
      </c>
    </row>
    <row r="484" spans="1:13" x14ac:dyDescent="0.15">
      <c r="A484" s="2" t="str">
        <f t="shared" si="87"/>
        <v>1881110500</v>
      </c>
      <c r="B484" s="2" t="str">
        <f t="shared" si="88"/>
        <v>佐伯・区政調整</v>
      </c>
      <c r="C484" s="2" t="str">
        <f t="shared" si="84"/>
        <v>01ｲ00311</v>
      </c>
      <c r="D484" s="2" t="str">
        <f t="shared" si="85"/>
        <v>肘掛椅子</v>
      </c>
      <c r="E484" s="3" t="str">
        <f t="shared" si="90"/>
        <v>肘付</v>
      </c>
      <c r="F484" s="2" t="str">
        <f t="shared" si="91"/>
        <v>０００１</v>
      </c>
      <c r="G484" s="2" t="str">
        <f>"3620003576"</f>
        <v>3620003576</v>
      </c>
      <c r="H484" s="2" t="str">
        <f t="shared" si="86"/>
        <v>001</v>
      </c>
      <c r="I484" s="2" t="str">
        <f t="shared" si="92"/>
        <v>4100401</v>
      </c>
      <c r="J484" s="2">
        <f>31400</f>
        <v>31400</v>
      </c>
      <c r="K484" s="2" t="str">
        <f t="shared" si="89"/>
        <v>脚</v>
      </c>
      <c r="L484" s="2" t="str">
        <f t="shared" si="93"/>
        <v>3630331</v>
      </c>
      <c r="M484" s="2" t="str">
        <f>""</f>
        <v/>
      </c>
    </row>
    <row r="485" spans="1:13" x14ac:dyDescent="0.15">
      <c r="A485" s="2" t="str">
        <f t="shared" si="87"/>
        <v>1881110500</v>
      </c>
      <c r="B485" s="2" t="str">
        <f t="shared" si="88"/>
        <v>佐伯・区政調整</v>
      </c>
      <c r="C485" s="2" t="str">
        <f t="shared" si="84"/>
        <v>01ｲ00311</v>
      </c>
      <c r="D485" s="2" t="str">
        <f t="shared" si="85"/>
        <v>肘掛椅子</v>
      </c>
      <c r="E485" s="3" t="str">
        <f t="shared" si="90"/>
        <v>肘付</v>
      </c>
      <c r="F485" s="2" t="str">
        <f t="shared" si="91"/>
        <v>０００１</v>
      </c>
      <c r="G485" s="2" t="str">
        <f>"3620003577"</f>
        <v>3620003577</v>
      </c>
      <c r="H485" s="2" t="str">
        <f t="shared" si="86"/>
        <v>001</v>
      </c>
      <c r="I485" s="2" t="str">
        <f t="shared" si="92"/>
        <v>4100401</v>
      </c>
      <c r="J485" s="2">
        <f>31400</f>
        <v>31400</v>
      </c>
      <c r="K485" s="2" t="str">
        <f t="shared" si="89"/>
        <v>脚</v>
      </c>
      <c r="L485" s="2" t="str">
        <f t="shared" si="93"/>
        <v>3630331</v>
      </c>
      <c r="M485" s="2" t="str">
        <f>""</f>
        <v/>
      </c>
    </row>
    <row r="486" spans="1:13" x14ac:dyDescent="0.15">
      <c r="A486" s="2" t="str">
        <f t="shared" si="87"/>
        <v>1881110500</v>
      </c>
      <c r="B486" s="2" t="str">
        <f t="shared" si="88"/>
        <v>佐伯・区政調整</v>
      </c>
      <c r="C486" s="2" t="str">
        <f t="shared" si="84"/>
        <v>01ｲ00311</v>
      </c>
      <c r="D486" s="2" t="str">
        <f t="shared" si="85"/>
        <v>肘掛椅子</v>
      </c>
      <c r="E486" s="3" t="str">
        <f t="shared" si="90"/>
        <v>肘付</v>
      </c>
      <c r="F486" s="2" t="str">
        <f t="shared" si="91"/>
        <v>０００１</v>
      </c>
      <c r="G486" s="2" t="str">
        <f>"3620003578"</f>
        <v>3620003578</v>
      </c>
      <c r="H486" s="2" t="str">
        <f t="shared" si="86"/>
        <v>001</v>
      </c>
      <c r="I486" s="2" t="str">
        <f t="shared" si="92"/>
        <v>4100401</v>
      </c>
      <c r="J486" s="2">
        <f>31400</f>
        <v>31400</v>
      </c>
      <c r="K486" s="2" t="str">
        <f t="shared" si="89"/>
        <v>脚</v>
      </c>
      <c r="L486" s="2" t="str">
        <f t="shared" si="93"/>
        <v>3630331</v>
      </c>
      <c r="M486" s="2" t="str">
        <f>""</f>
        <v/>
      </c>
    </row>
    <row r="487" spans="1:13" x14ac:dyDescent="0.15">
      <c r="A487" s="2" t="str">
        <f t="shared" si="87"/>
        <v>1881110500</v>
      </c>
      <c r="B487" s="2" t="str">
        <f t="shared" si="88"/>
        <v>佐伯・区政調整</v>
      </c>
      <c r="C487" s="2" t="str">
        <f t="shared" si="84"/>
        <v>01ｲ00311</v>
      </c>
      <c r="D487" s="2" t="str">
        <f t="shared" si="85"/>
        <v>肘掛椅子</v>
      </c>
      <c r="E487" s="3" t="str">
        <f t="shared" si="90"/>
        <v>肘付</v>
      </c>
      <c r="F487" s="2" t="str">
        <f t="shared" si="91"/>
        <v>０００１</v>
      </c>
      <c r="G487" s="2" t="str">
        <f>"3620003579"</f>
        <v>3620003579</v>
      </c>
      <c r="H487" s="2" t="str">
        <f t="shared" si="86"/>
        <v>001</v>
      </c>
      <c r="I487" s="2" t="str">
        <f t="shared" si="92"/>
        <v>4100401</v>
      </c>
      <c r="J487" s="2">
        <f>31400</f>
        <v>31400</v>
      </c>
      <c r="K487" s="2" t="str">
        <f t="shared" si="89"/>
        <v>脚</v>
      </c>
      <c r="L487" s="2" t="str">
        <f t="shared" si="93"/>
        <v>3630331</v>
      </c>
      <c r="M487" s="2" t="str">
        <f>""</f>
        <v/>
      </c>
    </row>
    <row r="488" spans="1:13" x14ac:dyDescent="0.15">
      <c r="A488" s="2" t="str">
        <f t="shared" si="87"/>
        <v>1881110500</v>
      </c>
      <c r="B488" s="2" t="str">
        <f t="shared" si="88"/>
        <v>佐伯・区政調整</v>
      </c>
      <c r="C488" s="2" t="str">
        <f t="shared" si="84"/>
        <v>01ｲ00311</v>
      </c>
      <c r="D488" s="2" t="str">
        <f t="shared" si="85"/>
        <v>肘掛椅子</v>
      </c>
      <c r="E488" s="3" t="str">
        <f t="shared" si="90"/>
        <v>肘付</v>
      </c>
      <c r="F488" s="2" t="str">
        <f t="shared" si="91"/>
        <v>０００１</v>
      </c>
      <c r="G488" s="2" t="str">
        <f>"3620003580"</f>
        <v>3620003580</v>
      </c>
      <c r="H488" s="2" t="str">
        <f t="shared" si="86"/>
        <v>001</v>
      </c>
      <c r="I488" s="2" t="str">
        <f t="shared" si="92"/>
        <v>4100401</v>
      </c>
      <c r="J488" s="2">
        <f>31400</f>
        <v>31400</v>
      </c>
      <c r="K488" s="2" t="str">
        <f t="shared" si="89"/>
        <v>脚</v>
      </c>
      <c r="L488" s="2" t="str">
        <f t="shared" si="93"/>
        <v>3630331</v>
      </c>
      <c r="M488" s="2" t="str">
        <f>""</f>
        <v/>
      </c>
    </row>
    <row r="489" spans="1:13" x14ac:dyDescent="0.15">
      <c r="A489" s="2" t="str">
        <f t="shared" si="87"/>
        <v>1881110500</v>
      </c>
      <c r="B489" s="2" t="str">
        <f t="shared" si="88"/>
        <v>佐伯・区政調整</v>
      </c>
      <c r="C489" s="2" t="str">
        <f t="shared" si="84"/>
        <v>01ｲ00311</v>
      </c>
      <c r="D489" s="2" t="str">
        <f t="shared" si="85"/>
        <v>肘掛椅子</v>
      </c>
      <c r="E489" s="3" t="str">
        <f t="shared" si="90"/>
        <v>肘付</v>
      </c>
      <c r="F489" s="2" t="str">
        <f t="shared" si="91"/>
        <v>０００１</v>
      </c>
      <c r="G489" s="2" t="str">
        <f>"3620003581"</f>
        <v>3620003581</v>
      </c>
      <c r="H489" s="2" t="str">
        <f t="shared" si="86"/>
        <v>001</v>
      </c>
      <c r="I489" s="2" t="str">
        <f t="shared" si="92"/>
        <v>4100401</v>
      </c>
      <c r="J489" s="2">
        <f>31400</f>
        <v>31400</v>
      </c>
      <c r="K489" s="2" t="str">
        <f t="shared" si="89"/>
        <v>脚</v>
      </c>
      <c r="L489" s="2" t="str">
        <f t="shared" si="93"/>
        <v>3630331</v>
      </c>
      <c r="M489" s="2" t="str">
        <f>""</f>
        <v/>
      </c>
    </row>
    <row r="490" spans="1:13" x14ac:dyDescent="0.15">
      <c r="A490" s="2" t="str">
        <f t="shared" si="87"/>
        <v>1881110500</v>
      </c>
      <c r="B490" s="2" t="str">
        <f t="shared" si="88"/>
        <v>佐伯・区政調整</v>
      </c>
      <c r="C490" s="2" t="str">
        <f t="shared" si="84"/>
        <v>01ｲ00311</v>
      </c>
      <c r="D490" s="2" t="str">
        <f t="shared" si="85"/>
        <v>肘掛椅子</v>
      </c>
      <c r="E490" s="3" t="str">
        <f t="shared" si="90"/>
        <v>肘付</v>
      </c>
      <c r="F490" s="2" t="str">
        <f t="shared" si="91"/>
        <v>０００１</v>
      </c>
      <c r="G490" s="2" t="str">
        <f>"3620003582"</f>
        <v>3620003582</v>
      </c>
      <c r="H490" s="2" t="str">
        <f t="shared" si="86"/>
        <v>001</v>
      </c>
      <c r="I490" s="2" t="str">
        <f t="shared" si="92"/>
        <v>4100401</v>
      </c>
      <c r="J490" s="2">
        <f>31400</f>
        <v>31400</v>
      </c>
      <c r="K490" s="2" t="str">
        <f t="shared" si="89"/>
        <v>脚</v>
      </c>
      <c r="L490" s="2" t="str">
        <f t="shared" si="93"/>
        <v>3630331</v>
      </c>
      <c r="M490" s="2" t="str">
        <f>""</f>
        <v/>
      </c>
    </row>
    <row r="491" spans="1:13" x14ac:dyDescent="0.15">
      <c r="A491" s="2" t="str">
        <f t="shared" si="87"/>
        <v>1881110500</v>
      </c>
      <c r="B491" s="2" t="str">
        <f t="shared" si="88"/>
        <v>佐伯・区政調整</v>
      </c>
      <c r="C491" s="2" t="str">
        <f t="shared" si="84"/>
        <v>01ｲ00311</v>
      </c>
      <c r="D491" s="2" t="str">
        <f t="shared" si="85"/>
        <v>肘掛椅子</v>
      </c>
      <c r="E491" s="3" t="str">
        <f t="shared" si="90"/>
        <v>肘付</v>
      </c>
      <c r="F491" s="2" t="str">
        <f t="shared" si="91"/>
        <v>０００１</v>
      </c>
      <c r="G491" s="2" t="str">
        <f>"3620003583"</f>
        <v>3620003583</v>
      </c>
      <c r="H491" s="2" t="str">
        <f t="shared" si="86"/>
        <v>001</v>
      </c>
      <c r="I491" s="2" t="str">
        <f t="shared" si="92"/>
        <v>4100401</v>
      </c>
      <c r="J491" s="2">
        <f>31400</f>
        <v>31400</v>
      </c>
      <c r="K491" s="2" t="str">
        <f t="shared" si="89"/>
        <v>脚</v>
      </c>
      <c r="L491" s="2" t="str">
        <f t="shared" si="93"/>
        <v>3630331</v>
      </c>
      <c r="M491" s="2" t="str">
        <f>""</f>
        <v/>
      </c>
    </row>
    <row r="492" spans="1:13" x14ac:dyDescent="0.15">
      <c r="A492" s="2" t="str">
        <f t="shared" si="87"/>
        <v>1881110500</v>
      </c>
      <c r="B492" s="2" t="str">
        <f t="shared" si="88"/>
        <v>佐伯・区政調整</v>
      </c>
      <c r="C492" s="2" t="str">
        <f t="shared" si="84"/>
        <v>01ｲ00311</v>
      </c>
      <c r="D492" s="2" t="str">
        <f t="shared" si="85"/>
        <v>肘掛椅子</v>
      </c>
      <c r="E492" s="3" t="str">
        <f t="shared" si="90"/>
        <v>肘付</v>
      </c>
      <c r="F492" s="2" t="str">
        <f t="shared" si="91"/>
        <v>０００１</v>
      </c>
      <c r="G492" s="2" t="str">
        <f>"3620003584"</f>
        <v>3620003584</v>
      </c>
      <c r="H492" s="2" t="str">
        <f t="shared" si="86"/>
        <v>001</v>
      </c>
      <c r="I492" s="2" t="str">
        <f t="shared" si="92"/>
        <v>4100401</v>
      </c>
      <c r="J492" s="2">
        <f>31400</f>
        <v>31400</v>
      </c>
      <c r="K492" s="2" t="str">
        <f t="shared" si="89"/>
        <v>脚</v>
      </c>
      <c r="L492" s="2" t="str">
        <f t="shared" si="93"/>
        <v>3630331</v>
      </c>
      <c r="M492" s="2" t="str">
        <f>""</f>
        <v/>
      </c>
    </row>
    <row r="493" spans="1:13" x14ac:dyDescent="0.15">
      <c r="A493" s="2" t="str">
        <f t="shared" si="87"/>
        <v>1881110500</v>
      </c>
      <c r="B493" s="2" t="str">
        <f t="shared" si="88"/>
        <v>佐伯・区政調整</v>
      </c>
      <c r="C493" s="2" t="str">
        <f t="shared" si="84"/>
        <v>01ｲ00311</v>
      </c>
      <c r="D493" s="2" t="str">
        <f t="shared" si="85"/>
        <v>肘掛椅子</v>
      </c>
      <c r="E493" s="3" t="str">
        <f t="shared" si="90"/>
        <v>肘付</v>
      </c>
      <c r="F493" s="2" t="str">
        <f t="shared" si="91"/>
        <v>０００１</v>
      </c>
      <c r="G493" s="2" t="str">
        <f>"3620003585"</f>
        <v>3620003585</v>
      </c>
      <c r="H493" s="2" t="str">
        <f t="shared" si="86"/>
        <v>001</v>
      </c>
      <c r="I493" s="2" t="str">
        <f t="shared" si="92"/>
        <v>4100401</v>
      </c>
      <c r="J493" s="2">
        <f>31400</f>
        <v>31400</v>
      </c>
      <c r="K493" s="2" t="str">
        <f t="shared" si="89"/>
        <v>脚</v>
      </c>
      <c r="L493" s="2" t="str">
        <f t="shared" si="93"/>
        <v>3630331</v>
      </c>
      <c r="M493" s="2" t="str">
        <f>""</f>
        <v/>
      </c>
    </row>
    <row r="494" spans="1:13" x14ac:dyDescent="0.15">
      <c r="A494" s="2" t="str">
        <f t="shared" si="87"/>
        <v>1881110500</v>
      </c>
      <c r="B494" s="2" t="str">
        <f t="shared" si="88"/>
        <v>佐伯・区政調整</v>
      </c>
      <c r="C494" s="2" t="str">
        <f t="shared" si="84"/>
        <v>01ｲ00311</v>
      </c>
      <c r="D494" s="2" t="str">
        <f t="shared" si="85"/>
        <v>肘掛椅子</v>
      </c>
      <c r="E494" s="3" t="str">
        <f t="shared" si="90"/>
        <v>肘付</v>
      </c>
      <c r="F494" s="2" t="str">
        <f t="shared" si="91"/>
        <v>０００１</v>
      </c>
      <c r="G494" s="2" t="str">
        <f>"3620003586"</f>
        <v>3620003586</v>
      </c>
      <c r="H494" s="2" t="str">
        <f t="shared" si="86"/>
        <v>001</v>
      </c>
      <c r="I494" s="2" t="str">
        <f t="shared" si="92"/>
        <v>4100401</v>
      </c>
      <c r="J494" s="2">
        <f>31400</f>
        <v>31400</v>
      </c>
      <c r="K494" s="2" t="str">
        <f t="shared" si="89"/>
        <v>脚</v>
      </c>
      <c r="L494" s="2" t="str">
        <f t="shared" si="93"/>
        <v>3630331</v>
      </c>
      <c r="M494" s="2" t="str">
        <f>""</f>
        <v/>
      </c>
    </row>
    <row r="495" spans="1:13" x14ac:dyDescent="0.15">
      <c r="A495" s="2" t="str">
        <f t="shared" si="87"/>
        <v>1881110500</v>
      </c>
      <c r="B495" s="2" t="str">
        <f t="shared" si="88"/>
        <v>佐伯・区政調整</v>
      </c>
      <c r="C495" s="2" t="str">
        <f t="shared" si="84"/>
        <v>01ｲ00311</v>
      </c>
      <c r="D495" s="2" t="str">
        <f t="shared" si="85"/>
        <v>肘掛椅子</v>
      </c>
      <c r="E495" s="3" t="str">
        <f t="shared" si="90"/>
        <v>肘付</v>
      </c>
      <c r="F495" s="2" t="str">
        <f t="shared" si="91"/>
        <v>０００１</v>
      </c>
      <c r="G495" s="2" t="str">
        <f>"3620003587"</f>
        <v>3620003587</v>
      </c>
      <c r="H495" s="2" t="str">
        <f t="shared" si="86"/>
        <v>001</v>
      </c>
      <c r="I495" s="2" t="str">
        <f t="shared" si="92"/>
        <v>4100401</v>
      </c>
      <c r="J495" s="2">
        <f>31400</f>
        <v>31400</v>
      </c>
      <c r="K495" s="2" t="str">
        <f t="shared" si="89"/>
        <v>脚</v>
      </c>
      <c r="L495" s="2" t="str">
        <f t="shared" si="93"/>
        <v>3630331</v>
      </c>
      <c r="M495" s="2" t="str">
        <f>""</f>
        <v/>
      </c>
    </row>
    <row r="496" spans="1:13" x14ac:dyDescent="0.15">
      <c r="A496" s="2" t="str">
        <f t="shared" si="87"/>
        <v>1881110500</v>
      </c>
      <c r="B496" s="2" t="str">
        <f t="shared" si="88"/>
        <v>佐伯・区政調整</v>
      </c>
      <c r="C496" s="2" t="str">
        <f t="shared" si="84"/>
        <v>01ｲ00311</v>
      </c>
      <c r="D496" s="2" t="str">
        <f t="shared" si="85"/>
        <v>肘掛椅子</v>
      </c>
      <c r="E496" s="3" t="str">
        <f t="shared" si="90"/>
        <v>肘付</v>
      </c>
      <c r="F496" s="2" t="str">
        <f t="shared" si="91"/>
        <v>０００１</v>
      </c>
      <c r="G496" s="2" t="str">
        <f>"3620003588"</f>
        <v>3620003588</v>
      </c>
      <c r="H496" s="2" t="str">
        <f t="shared" si="86"/>
        <v>001</v>
      </c>
      <c r="I496" s="2" t="str">
        <f t="shared" si="92"/>
        <v>4100401</v>
      </c>
      <c r="J496" s="2">
        <f>31400</f>
        <v>31400</v>
      </c>
      <c r="K496" s="2" t="str">
        <f t="shared" si="89"/>
        <v>脚</v>
      </c>
      <c r="L496" s="2" t="str">
        <f t="shared" si="93"/>
        <v>3630331</v>
      </c>
      <c r="M496" s="2" t="str">
        <f>""</f>
        <v/>
      </c>
    </row>
    <row r="497" spans="1:13" x14ac:dyDescent="0.15">
      <c r="A497" s="2" t="str">
        <f t="shared" si="87"/>
        <v>1881110500</v>
      </c>
      <c r="B497" s="2" t="str">
        <f t="shared" si="88"/>
        <v>佐伯・区政調整</v>
      </c>
      <c r="C497" s="2" t="str">
        <f t="shared" si="84"/>
        <v>01ｲ00311</v>
      </c>
      <c r="D497" s="2" t="str">
        <f t="shared" si="85"/>
        <v>肘掛椅子</v>
      </c>
      <c r="E497" s="3" t="str">
        <f t="shared" si="90"/>
        <v>肘付</v>
      </c>
      <c r="F497" s="2" t="str">
        <f t="shared" si="91"/>
        <v>０００１</v>
      </c>
      <c r="G497" s="2" t="str">
        <f>"3620003589"</f>
        <v>3620003589</v>
      </c>
      <c r="H497" s="2" t="str">
        <f t="shared" si="86"/>
        <v>001</v>
      </c>
      <c r="I497" s="2" t="str">
        <f t="shared" si="92"/>
        <v>4100401</v>
      </c>
      <c r="J497" s="2">
        <f>31400</f>
        <v>31400</v>
      </c>
      <c r="K497" s="2" t="str">
        <f t="shared" si="89"/>
        <v>脚</v>
      </c>
      <c r="L497" s="2" t="str">
        <f t="shared" si="93"/>
        <v>3630331</v>
      </c>
      <c r="M497" s="2" t="str">
        <f>""</f>
        <v/>
      </c>
    </row>
    <row r="498" spans="1:13" x14ac:dyDescent="0.15">
      <c r="A498" s="2" t="str">
        <f t="shared" si="87"/>
        <v>1881110500</v>
      </c>
      <c r="B498" s="2" t="str">
        <f t="shared" si="88"/>
        <v>佐伯・区政調整</v>
      </c>
      <c r="C498" s="2" t="str">
        <f t="shared" si="84"/>
        <v>01ｲ00311</v>
      </c>
      <c r="D498" s="2" t="str">
        <f t="shared" si="85"/>
        <v>肘掛椅子</v>
      </c>
      <c r="E498" s="3" t="str">
        <f t="shared" si="90"/>
        <v>肘付</v>
      </c>
      <c r="F498" s="2" t="str">
        <f t="shared" si="91"/>
        <v>０００１</v>
      </c>
      <c r="G498" s="2" t="str">
        <f>"3620003590"</f>
        <v>3620003590</v>
      </c>
      <c r="H498" s="2" t="str">
        <f t="shared" si="86"/>
        <v>001</v>
      </c>
      <c r="I498" s="2" t="str">
        <f t="shared" si="92"/>
        <v>4100401</v>
      </c>
      <c r="J498" s="2">
        <f>31400</f>
        <v>31400</v>
      </c>
      <c r="K498" s="2" t="str">
        <f t="shared" si="89"/>
        <v>脚</v>
      </c>
      <c r="L498" s="2" t="str">
        <f t="shared" si="93"/>
        <v>3630331</v>
      </c>
      <c r="M498" s="2" t="str">
        <f>""</f>
        <v/>
      </c>
    </row>
    <row r="499" spans="1:13" x14ac:dyDescent="0.15">
      <c r="A499" s="2" t="str">
        <f t="shared" si="87"/>
        <v>1881110500</v>
      </c>
      <c r="B499" s="2" t="str">
        <f t="shared" si="88"/>
        <v>佐伯・区政調整</v>
      </c>
      <c r="C499" s="2" t="str">
        <f t="shared" si="84"/>
        <v>01ｲ00311</v>
      </c>
      <c r="D499" s="2" t="str">
        <f t="shared" si="85"/>
        <v>肘掛椅子</v>
      </c>
      <c r="E499" s="3" t="str">
        <f t="shared" si="90"/>
        <v>肘付</v>
      </c>
      <c r="F499" s="2" t="str">
        <f t="shared" si="91"/>
        <v>０００１</v>
      </c>
      <c r="G499" s="2" t="str">
        <f>"3620003591"</f>
        <v>3620003591</v>
      </c>
      <c r="H499" s="2" t="str">
        <f t="shared" si="86"/>
        <v>001</v>
      </c>
      <c r="I499" s="2" t="str">
        <f t="shared" si="92"/>
        <v>4100401</v>
      </c>
      <c r="J499" s="2">
        <f>31400</f>
        <v>31400</v>
      </c>
      <c r="K499" s="2" t="str">
        <f t="shared" si="89"/>
        <v>脚</v>
      </c>
      <c r="L499" s="2" t="str">
        <f t="shared" si="93"/>
        <v>3630331</v>
      </c>
      <c r="M499" s="2" t="str">
        <f>""</f>
        <v/>
      </c>
    </row>
    <row r="500" spans="1:13" x14ac:dyDescent="0.15">
      <c r="A500" s="2" t="str">
        <f t="shared" si="87"/>
        <v>1881110500</v>
      </c>
      <c r="B500" s="2" t="str">
        <f t="shared" si="88"/>
        <v>佐伯・区政調整</v>
      </c>
      <c r="C500" s="2" t="str">
        <f t="shared" si="84"/>
        <v>01ｲ00311</v>
      </c>
      <c r="D500" s="2" t="str">
        <f t="shared" si="85"/>
        <v>肘掛椅子</v>
      </c>
      <c r="E500" s="3" t="str">
        <f t="shared" si="90"/>
        <v>肘付</v>
      </c>
      <c r="F500" s="2" t="str">
        <f t="shared" si="91"/>
        <v>０００１</v>
      </c>
      <c r="G500" s="2" t="str">
        <f>"3620003592"</f>
        <v>3620003592</v>
      </c>
      <c r="H500" s="2" t="str">
        <f t="shared" si="86"/>
        <v>001</v>
      </c>
      <c r="I500" s="2" t="str">
        <f t="shared" si="92"/>
        <v>4100401</v>
      </c>
      <c r="J500" s="2">
        <f>31400</f>
        <v>31400</v>
      </c>
      <c r="K500" s="2" t="str">
        <f t="shared" si="89"/>
        <v>脚</v>
      </c>
      <c r="L500" s="2" t="str">
        <f t="shared" si="93"/>
        <v>3630331</v>
      </c>
      <c r="M500" s="2" t="str">
        <f>""</f>
        <v/>
      </c>
    </row>
    <row r="501" spans="1:13" x14ac:dyDescent="0.15">
      <c r="A501" s="2" t="str">
        <f t="shared" si="87"/>
        <v>1881110500</v>
      </c>
      <c r="B501" s="2" t="str">
        <f t="shared" si="88"/>
        <v>佐伯・区政調整</v>
      </c>
      <c r="C501" s="2" t="str">
        <f t="shared" si="84"/>
        <v>01ｲ00311</v>
      </c>
      <c r="D501" s="2" t="str">
        <f t="shared" si="85"/>
        <v>肘掛椅子</v>
      </c>
      <c r="E501" s="3" t="str">
        <f t="shared" si="90"/>
        <v>肘付</v>
      </c>
      <c r="F501" s="2" t="str">
        <f t="shared" si="91"/>
        <v>０００１</v>
      </c>
      <c r="G501" s="2" t="str">
        <f>"3620003593"</f>
        <v>3620003593</v>
      </c>
      <c r="H501" s="2" t="str">
        <f t="shared" si="86"/>
        <v>001</v>
      </c>
      <c r="I501" s="2" t="str">
        <f t="shared" si="92"/>
        <v>4100401</v>
      </c>
      <c r="J501" s="2">
        <f>31400</f>
        <v>31400</v>
      </c>
      <c r="K501" s="2" t="str">
        <f t="shared" si="89"/>
        <v>脚</v>
      </c>
      <c r="L501" s="2" t="str">
        <f t="shared" si="93"/>
        <v>3630331</v>
      </c>
      <c r="M501" s="2" t="str">
        <f>""</f>
        <v/>
      </c>
    </row>
    <row r="502" spans="1:13" x14ac:dyDescent="0.15">
      <c r="A502" s="2" t="str">
        <f t="shared" si="87"/>
        <v>1881110500</v>
      </c>
      <c r="B502" s="2" t="str">
        <f t="shared" si="88"/>
        <v>佐伯・区政調整</v>
      </c>
      <c r="C502" s="2" t="str">
        <f t="shared" si="84"/>
        <v>01ｲ00311</v>
      </c>
      <c r="D502" s="2" t="str">
        <f t="shared" si="85"/>
        <v>肘掛椅子</v>
      </c>
      <c r="E502" s="3" t="str">
        <f t="shared" si="90"/>
        <v>肘付</v>
      </c>
      <c r="F502" s="2" t="str">
        <f t="shared" si="91"/>
        <v>０００１</v>
      </c>
      <c r="G502" s="2" t="str">
        <f>"3620003594"</f>
        <v>3620003594</v>
      </c>
      <c r="H502" s="2" t="str">
        <f t="shared" si="86"/>
        <v>001</v>
      </c>
      <c r="I502" s="2" t="str">
        <f t="shared" si="92"/>
        <v>4100401</v>
      </c>
      <c r="J502" s="2">
        <f>31400</f>
        <v>31400</v>
      </c>
      <c r="K502" s="2" t="str">
        <f t="shared" si="89"/>
        <v>脚</v>
      </c>
      <c r="L502" s="2" t="str">
        <f t="shared" si="93"/>
        <v>3630331</v>
      </c>
      <c r="M502" s="2" t="str">
        <f>""</f>
        <v/>
      </c>
    </row>
    <row r="503" spans="1:13" x14ac:dyDescent="0.15">
      <c r="A503" s="2" t="str">
        <f t="shared" si="87"/>
        <v>1881110500</v>
      </c>
      <c r="B503" s="2" t="str">
        <f t="shared" si="88"/>
        <v>佐伯・区政調整</v>
      </c>
      <c r="C503" s="2" t="str">
        <f t="shared" si="84"/>
        <v>01ｲ00311</v>
      </c>
      <c r="D503" s="2" t="str">
        <f t="shared" si="85"/>
        <v>肘掛椅子</v>
      </c>
      <c r="E503" s="3" t="str">
        <f t="shared" si="90"/>
        <v>肘付</v>
      </c>
      <c r="F503" s="2" t="str">
        <f t="shared" si="91"/>
        <v>０００１</v>
      </c>
      <c r="G503" s="2" t="str">
        <f>"3620003595"</f>
        <v>3620003595</v>
      </c>
      <c r="H503" s="2" t="str">
        <f t="shared" si="86"/>
        <v>001</v>
      </c>
      <c r="I503" s="2" t="str">
        <f t="shared" si="92"/>
        <v>4100401</v>
      </c>
      <c r="J503" s="2">
        <f>31400</f>
        <v>31400</v>
      </c>
      <c r="K503" s="2" t="str">
        <f t="shared" si="89"/>
        <v>脚</v>
      </c>
      <c r="L503" s="2" t="str">
        <f t="shared" si="93"/>
        <v>3630331</v>
      </c>
      <c r="M503" s="2" t="str">
        <f>""</f>
        <v/>
      </c>
    </row>
    <row r="504" spans="1:13" x14ac:dyDescent="0.15">
      <c r="A504" s="2" t="str">
        <f t="shared" si="87"/>
        <v>1881110500</v>
      </c>
      <c r="B504" s="2" t="str">
        <f t="shared" si="88"/>
        <v>佐伯・区政調整</v>
      </c>
      <c r="C504" s="2" t="str">
        <f t="shared" si="84"/>
        <v>01ｲ00311</v>
      </c>
      <c r="D504" s="2" t="str">
        <f t="shared" si="85"/>
        <v>肘掛椅子</v>
      </c>
      <c r="E504" s="3" t="str">
        <f t="shared" si="90"/>
        <v>肘付</v>
      </c>
      <c r="F504" s="2" t="str">
        <f t="shared" si="91"/>
        <v>０００１</v>
      </c>
      <c r="G504" s="2" t="str">
        <f>"3620003596"</f>
        <v>3620003596</v>
      </c>
      <c r="H504" s="2" t="str">
        <f t="shared" si="86"/>
        <v>001</v>
      </c>
      <c r="I504" s="2" t="str">
        <f t="shared" si="92"/>
        <v>4100401</v>
      </c>
      <c r="J504" s="2">
        <f>31400</f>
        <v>31400</v>
      </c>
      <c r="K504" s="2" t="str">
        <f t="shared" si="89"/>
        <v>脚</v>
      </c>
      <c r="L504" s="2" t="str">
        <f t="shared" si="93"/>
        <v>3630331</v>
      </c>
      <c r="M504" s="2" t="str">
        <f>""</f>
        <v/>
      </c>
    </row>
    <row r="505" spans="1:13" x14ac:dyDescent="0.15">
      <c r="A505" s="2" t="str">
        <f t="shared" si="87"/>
        <v>1881110500</v>
      </c>
      <c r="B505" s="2" t="str">
        <f t="shared" si="88"/>
        <v>佐伯・区政調整</v>
      </c>
      <c r="C505" s="2" t="str">
        <f t="shared" si="84"/>
        <v>01ｲ00311</v>
      </c>
      <c r="D505" s="2" t="str">
        <f t="shared" si="85"/>
        <v>肘掛椅子</v>
      </c>
      <c r="E505" s="3" t="str">
        <f t="shared" si="90"/>
        <v>肘付</v>
      </c>
      <c r="F505" s="2" t="str">
        <f t="shared" si="91"/>
        <v>０００１</v>
      </c>
      <c r="G505" s="2" t="str">
        <f>"3620003597"</f>
        <v>3620003597</v>
      </c>
      <c r="H505" s="2" t="str">
        <f t="shared" si="86"/>
        <v>001</v>
      </c>
      <c r="I505" s="2" t="str">
        <f t="shared" si="92"/>
        <v>4100401</v>
      </c>
      <c r="J505" s="2">
        <f>31400</f>
        <v>31400</v>
      </c>
      <c r="K505" s="2" t="str">
        <f t="shared" si="89"/>
        <v>脚</v>
      </c>
      <c r="L505" s="2" t="str">
        <f t="shared" si="93"/>
        <v>3630331</v>
      </c>
      <c r="M505" s="2" t="str">
        <f>""</f>
        <v/>
      </c>
    </row>
    <row r="506" spans="1:13" x14ac:dyDescent="0.15">
      <c r="A506" s="2" t="str">
        <f t="shared" si="87"/>
        <v>1881110500</v>
      </c>
      <c r="B506" s="2" t="str">
        <f t="shared" si="88"/>
        <v>佐伯・区政調整</v>
      </c>
      <c r="C506" s="2" t="str">
        <f t="shared" si="84"/>
        <v>01ｲ00311</v>
      </c>
      <c r="D506" s="2" t="str">
        <f t="shared" si="85"/>
        <v>肘掛椅子</v>
      </c>
      <c r="E506" s="3" t="str">
        <f t="shared" si="90"/>
        <v>肘付</v>
      </c>
      <c r="F506" s="2" t="str">
        <f t="shared" si="91"/>
        <v>０００１</v>
      </c>
      <c r="G506" s="2" t="str">
        <f>"3620003598"</f>
        <v>3620003598</v>
      </c>
      <c r="H506" s="2" t="str">
        <f t="shared" si="86"/>
        <v>001</v>
      </c>
      <c r="I506" s="2" t="str">
        <f t="shared" si="92"/>
        <v>4100401</v>
      </c>
      <c r="J506" s="2">
        <f>31400</f>
        <v>31400</v>
      </c>
      <c r="K506" s="2" t="str">
        <f t="shared" si="89"/>
        <v>脚</v>
      </c>
      <c r="L506" s="2" t="str">
        <f t="shared" si="93"/>
        <v>3630331</v>
      </c>
      <c r="M506" s="2" t="str">
        <f>""</f>
        <v/>
      </c>
    </row>
    <row r="507" spans="1:13" x14ac:dyDescent="0.15">
      <c r="A507" s="2" t="str">
        <f t="shared" si="87"/>
        <v>1881110500</v>
      </c>
      <c r="B507" s="2" t="str">
        <f t="shared" si="88"/>
        <v>佐伯・区政調整</v>
      </c>
      <c r="C507" s="2" t="str">
        <f t="shared" si="84"/>
        <v>01ｲ00311</v>
      </c>
      <c r="D507" s="2" t="str">
        <f t="shared" si="85"/>
        <v>肘掛椅子</v>
      </c>
      <c r="E507" s="3" t="str">
        <f t="shared" si="90"/>
        <v>肘付</v>
      </c>
      <c r="F507" s="2" t="str">
        <f t="shared" si="91"/>
        <v>０００１</v>
      </c>
      <c r="G507" s="2" t="str">
        <f>"3620003599"</f>
        <v>3620003599</v>
      </c>
      <c r="H507" s="2" t="str">
        <f t="shared" si="86"/>
        <v>001</v>
      </c>
      <c r="I507" s="2" t="str">
        <f t="shared" si="92"/>
        <v>4100401</v>
      </c>
      <c r="J507" s="2">
        <f>31400</f>
        <v>31400</v>
      </c>
      <c r="K507" s="2" t="str">
        <f t="shared" si="89"/>
        <v>脚</v>
      </c>
      <c r="L507" s="2" t="str">
        <f t="shared" si="93"/>
        <v>3630331</v>
      </c>
      <c r="M507" s="2" t="str">
        <f>""</f>
        <v/>
      </c>
    </row>
    <row r="508" spans="1:13" x14ac:dyDescent="0.15">
      <c r="A508" s="2" t="str">
        <f t="shared" si="87"/>
        <v>1881110500</v>
      </c>
      <c r="B508" s="2" t="str">
        <f t="shared" si="88"/>
        <v>佐伯・区政調整</v>
      </c>
      <c r="C508" s="2" t="str">
        <f t="shared" si="84"/>
        <v>01ｲ00311</v>
      </c>
      <c r="D508" s="2" t="str">
        <f t="shared" si="85"/>
        <v>肘掛椅子</v>
      </c>
      <c r="E508" s="3" t="str">
        <f t="shared" si="90"/>
        <v>肘付</v>
      </c>
      <c r="F508" s="2" t="str">
        <f t="shared" si="91"/>
        <v>０００１</v>
      </c>
      <c r="G508" s="2" t="str">
        <f>"3620003600"</f>
        <v>3620003600</v>
      </c>
      <c r="H508" s="2" t="str">
        <f t="shared" si="86"/>
        <v>001</v>
      </c>
      <c r="I508" s="2" t="str">
        <f t="shared" si="92"/>
        <v>4100401</v>
      </c>
      <c r="J508" s="2">
        <f>31400</f>
        <v>31400</v>
      </c>
      <c r="K508" s="2" t="str">
        <f t="shared" si="89"/>
        <v>脚</v>
      </c>
      <c r="L508" s="2" t="str">
        <f t="shared" si="93"/>
        <v>3630331</v>
      </c>
      <c r="M508" s="2" t="str">
        <f>""</f>
        <v/>
      </c>
    </row>
    <row r="509" spans="1:13" x14ac:dyDescent="0.15">
      <c r="A509" s="2" t="str">
        <f t="shared" si="87"/>
        <v>1881110500</v>
      </c>
      <c r="B509" s="2" t="str">
        <f t="shared" si="88"/>
        <v>佐伯・区政調整</v>
      </c>
      <c r="C509" s="2" t="str">
        <f t="shared" si="84"/>
        <v>01ｲ00311</v>
      </c>
      <c r="D509" s="2" t="str">
        <f t="shared" si="85"/>
        <v>肘掛椅子</v>
      </c>
      <c r="E509" s="3" t="str">
        <f t="shared" si="90"/>
        <v>肘付</v>
      </c>
      <c r="F509" s="2" t="str">
        <f t="shared" si="91"/>
        <v>０００１</v>
      </c>
      <c r="G509" s="2" t="str">
        <f>"3620003601"</f>
        <v>3620003601</v>
      </c>
      <c r="H509" s="2" t="str">
        <f t="shared" si="86"/>
        <v>001</v>
      </c>
      <c r="I509" s="2" t="str">
        <f t="shared" si="92"/>
        <v>4100401</v>
      </c>
      <c r="J509" s="2">
        <f>31400</f>
        <v>31400</v>
      </c>
      <c r="K509" s="2" t="str">
        <f t="shared" si="89"/>
        <v>脚</v>
      </c>
      <c r="L509" s="2" t="str">
        <f t="shared" si="93"/>
        <v>3630331</v>
      </c>
      <c r="M509" s="2" t="str">
        <f>""</f>
        <v/>
      </c>
    </row>
    <row r="510" spans="1:13" x14ac:dyDescent="0.15">
      <c r="A510" s="2" t="str">
        <f t="shared" si="87"/>
        <v>1881110500</v>
      </c>
      <c r="B510" s="2" t="str">
        <f t="shared" si="88"/>
        <v>佐伯・区政調整</v>
      </c>
      <c r="C510" s="2" t="str">
        <f t="shared" si="84"/>
        <v>01ｲ00311</v>
      </c>
      <c r="D510" s="2" t="str">
        <f t="shared" si="85"/>
        <v>肘掛椅子</v>
      </c>
      <c r="E510" s="3" t="str">
        <f t="shared" si="90"/>
        <v>肘付</v>
      </c>
      <c r="F510" s="2" t="str">
        <f t="shared" si="91"/>
        <v>０００１</v>
      </c>
      <c r="G510" s="2" t="str">
        <f>"3620003602"</f>
        <v>3620003602</v>
      </c>
      <c r="H510" s="2" t="str">
        <f t="shared" si="86"/>
        <v>001</v>
      </c>
      <c r="I510" s="2" t="str">
        <f t="shared" si="92"/>
        <v>4100401</v>
      </c>
      <c r="J510" s="2">
        <f>31400</f>
        <v>31400</v>
      </c>
      <c r="K510" s="2" t="str">
        <f t="shared" si="89"/>
        <v>脚</v>
      </c>
      <c r="L510" s="2" t="str">
        <f t="shared" si="93"/>
        <v>3630331</v>
      </c>
      <c r="M510" s="2" t="str">
        <f>""</f>
        <v/>
      </c>
    </row>
    <row r="511" spans="1:13" x14ac:dyDescent="0.15">
      <c r="A511" s="2" t="str">
        <f t="shared" si="87"/>
        <v>1881110500</v>
      </c>
      <c r="B511" s="2" t="str">
        <f t="shared" si="88"/>
        <v>佐伯・区政調整</v>
      </c>
      <c r="C511" s="2" t="str">
        <f t="shared" si="84"/>
        <v>01ｲ00311</v>
      </c>
      <c r="D511" s="2" t="str">
        <f t="shared" si="85"/>
        <v>肘掛椅子</v>
      </c>
      <c r="E511" s="3" t="str">
        <f t="shared" si="90"/>
        <v>肘付</v>
      </c>
      <c r="F511" s="2" t="str">
        <f t="shared" si="91"/>
        <v>０００１</v>
      </c>
      <c r="G511" s="2" t="str">
        <f>"3620003603"</f>
        <v>3620003603</v>
      </c>
      <c r="H511" s="2" t="str">
        <f t="shared" si="86"/>
        <v>001</v>
      </c>
      <c r="I511" s="2" t="str">
        <f t="shared" si="92"/>
        <v>4100401</v>
      </c>
      <c r="J511" s="2">
        <f>31400</f>
        <v>31400</v>
      </c>
      <c r="K511" s="2" t="str">
        <f t="shared" si="89"/>
        <v>脚</v>
      </c>
      <c r="L511" s="2" t="str">
        <f t="shared" si="93"/>
        <v>3630331</v>
      </c>
      <c r="M511" s="2" t="str">
        <f>""</f>
        <v/>
      </c>
    </row>
    <row r="512" spans="1:13" x14ac:dyDescent="0.15">
      <c r="A512" s="2" t="str">
        <f t="shared" si="87"/>
        <v>1881110500</v>
      </c>
      <c r="B512" s="2" t="str">
        <f t="shared" si="88"/>
        <v>佐伯・区政調整</v>
      </c>
      <c r="C512" s="2" t="str">
        <f t="shared" si="84"/>
        <v>01ｲ00311</v>
      </c>
      <c r="D512" s="2" t="str">
        <f t="shared" si="85"/>
        <v>肘掛椅子</v>
      </c>
      <c r="E512" s="3" t="str">
        <f t="shared" si="90"/>
        <v>肘付</v>
      </c>
      <c r="F512" s="2" t="str">
        <f t="shared" si="91"/>
        <v>０００１</v>
      </c>
      <c r="G512" s="2" t="str">
        <f>"3620003604"</f>
        <v>3620003604</v>
      </c>
      <c r="H512" s="2" t="str">
        <f t="shared" si="86"/>
        <v>001</v>
      </c>
      <c r="I512" s="2" t="str">
        <f t="shared" si="92"/>
        <v>4100401</v>
      </c>
      <c r="J512" s="2">
        <f>31400</f>
        <v>31400</v>
      </c>
      <c r="K512" s="2" t="str">
        <f t="shared" si="89"/>
        <v>脚</v>
      </c>
      <c r="L512" s="2" t="str">
        <f t="shared" si="93"/>
        <v>3630331</v>
      </c>
      <c r="M512" s="2" t="str">
        <f>""</f>
        <v/>
      </c>
    </row>
    <row r="513" spans="1:13" x14ac:dyDescent="0.15">
      <c r="A513" s="2" t="str">
        <f t="shared" si="87"/>
        <v>1881110500</v>
      </c>
      <c r="B513" s="2" t="str">
        <f t="shared" si="88"/>
        <v>佐伯・区政調整</v>
      </c>
      <c r="C513" s="2" t="str">
        <f t="shared" si="84"/>
        <v>01ｲ00311</v>
      </c>
      <c r="D513" s="2" t="str">
        <f t="shared" si="85"/>
        <v>肘掛椅子</v>
      </c>
      <c r="E513" s="3" t="str">
        <f t="shared" si="90"/>
        <v>肘付</v>
      </c>
      <c r="F513" s="2" t="str">
        <f t="shared" si="91"/>
        <v>０００１</v>
      </c>
      <c r="G513" s="2" t="str">
        <f>"3620003605"</f>
        <v>3620003605</v>
      </c>
      <c r="H513" s="2" t="str">
        <f t="shared" si="86"/>
        <v>001</v>
      </c>
      <c r="I513" s="2" t="str">
        <f t="shared" si="92"/>
        <v>4100401</v>
      </c>
      <c r="J513" s="2">
        <f>31400</f>
        <v>31400</v>
      </c>
      <c r="K513" s="2" t="str">
        <f t="shared" si="89"/>
        <v>脚</v>
      </c>
      <c r="L513" s="2" t="str">
        <f t="shared" si="93"/>
        <v>3630331</v>
      </c>
      <c r="M513" s="2" t="str">
        <f>""</f>
        <v/>
      </c>
    </row>
    <row r="514" spans="1:13" x14ac:dyDescent="0.15">
      <c r="A514" s="2" t="str">
        <f t="shared" si="87"/>
        <v>1881110500</v>
      </c>
      <c r="B514" s="2" t="str">
        <f t="shared" si="88"/>
        <v>佐伯・区政調整</v>
      </c>
      <c r="C514" s="2" t="str">
        <f t="shared" si="84"/>
        <v>01ｲ00311</v>
      </c>
      <c r="D514" s="2" t="str">
        <f t="shared" si="85"/>
        <v>肘掛椅子</v>
      </c>
      <c r="E514" s="3" t="str">
        <f t="shared" si="90"/>
        <v>肘付</v>
      </c>
      <c r="F514" s="2" t="str">
        <f t="shared" si="91"/>
        <v>０００１</v>
      </c>
      <c r="G514" s="2" t="str">
        <f>"3620003606"</f>
        <v>3620003606</v>
      </c>
      <c r="H514" s="2" t="str">
        <f t="shared" si="86"/>
        <v>001</v>
      </c>
      <c r="I514" s="2" t="str">
        <f t="shared" si="92"/>
        <v>4100401</v>
      </c>
      <c r="J514" s="2">
        <f>31400</f>
        <v>31400</v>
      </c>
      <c r="K514" s="2" t="str">
        <f t="shared" si="89"/>
        <v>脚</v>
      </c>
      <c r="L514" s="2" t="str">
        <f t="shared" si="93"/>
        <v>3630331</v>
      </c>
      <c r="M514" s="2" t="str">
        <f>""</f>
        <v/>
      </c>
    </row>
    <row r="515" spans="1:13" x14ac:dyDescent="0.15">
      <c r="A515" s="2" t="str">
        <f t="shared" si="87"/>
        <v>1881110500</v>
      </c>
      <c r="B515" s="2" t="str">
        <f t="shared" si="88"/>
        <v>佐伯・区政調整</v>
      </c>
      <c r="C515" s="2" t="str">
        <f t="shared" si="84"/>
        <v>01ｲ00311</v>
      </c>
      <c r="D515" s="2" t="str">
        <f t="shared" si="85"/>
        <v>肘掛椅子</v>
      </c>
      <c r="E515" s="3" t="str">
        <f t="shared" si="90"/>
        <v>肘付</v>
      </c>
      <c r="F515" s="2" t="str">
        <f t="shared" si="91"/>
        <v>０００１</v>
      </c>
      <c r="G515" s="2" t="str">
        <f>"3620003607"</f>
        <v>3620003607</v>
      </c>
      <c r="H515" s="2" t="str">
        <f t="shared" si="86"/>
        <v>001</v>
      </c>
      <c r="I515" s="2" t="str">
        <f t="shared" si="92"/>
        <v>4100401</v>
      </c>
      <c r="J515" s="2">
        <f>31400</f>
        <v>31400</v>
      </c>
      <c r="K515" s="2" t="str">
        <f t="shared" si="89"/>
        <v>脚</v>
      </c>
      <c r="L515" s="2" t="str">
        <f t="shared" si="93"/>
        <v>3630331</v>
      </c>
      <c r="M515" s="2" t="str">
        <f>""</f>
        <v/>
      </c>
    </row>
    <row r="516" spans="1:13" x14ac:dyDescent="0.15">
      <c r="A516" s="2" t="str">
        <f t="shared" si="87"/>
        <v>1881110500</v>
      </c>
      <c r="B516" s="2" t="str">
        <f t="shared" si="88"/>
        <v>佐伯・区政調整</v>
      </c>
      <c r="C516" s="2" t="str">
        <f t="shared" si="84"/>
        <v>01ｲ00311</v>
      </c>
      <c r="D516" s="2" t="str">
        <f t="shared" si="85"/>
        <v>肘掛椅子</v>
      </c>
      <c r="E516" s="3" t="str">
        <f t="shared" si="90"/>
        <v>肘付</v>
      </c>
      <c r="F516" s="2" t="str">
        <f t="shared" si="91"/>
        <v>０００１</v>
      </c>
      <c r="G516" s="2" t="str">
        <f>"3620003608"</f>
        <v>3620003608</v>
      </c>
      <c r="H516" s="2" t="str">
        <f t="shared" si="86"/>
        <v>001</v>
      </c>
      <c r="I516" s="2" t="str">
        <f t="shared" si="92"/>
        <v>4100401</v>
      </c>
      <c r="J516" s="2">
        <f>31400</f>
        <v>31400</v>
      </c>
      <c r="K516" s="2" t="str">
        <f t="shared" si="89"/>
        <v>脚</v>
      </c>
      <c r="L516" s="2" t="str">
        <f t="shared" si="93"/>
        <v>3630331</v>
      </c>
      <c r="M516" s="2" t="str">
        <f>""</f>
        <v/>
      </c>
    </row>
    <row r="517" spans="1:13" x14ac:dyDescent="0.15">
      <c r="A517" s="2" t="str">
        <f t="shared" si="87"/>
        <v>1881110500</v>
      </c>
      <c r="B517" s="2" t="str">
        <f t="shared" si="88"/>
        <v>佐伯・区政調整</v>
      </c>
      <c r="C517" s="2" t="str">
        <f t="shared" si="84"/>
        <v>01ｲ00311</v>
      </c>
      <c r="D517" s="2" t="str">
        <f t="shared" si="85"/>
        <v>肘掛椅子</v>
      </c>
      <c r="E517" s="3" t="str">
        <f t="shared" si="90"/>
        <v>肘付</v>
      </c>
      <c r="F517" s="2" t="str">
        <f t="shared" si="91"/>
        <v>０００１</v>
      </c>
      <c r="G517" s="2" t="str">
        <f>"3620003609"</f>
        <v>3620003609</v>
      </c>
      <c r="H517" s="2" t="str">
        <f t="shared" si="86"/>
        <v>001</v>
      </c>
      <c r="I517" s="2" t="str">
        <f t="shared" si="92"/>
        <v>4100401</v>
      </c>
      <c r="J517" s="2">
        <f>31400</f>
        <v>31400</v>
      </c>
      <c r="K517" s="2" t="str">
        <f t="shared" si="89"/>
        <v>脚</v>
      </c>
      <c r="L517" s="2" t="str">
        <f t="shared" si="93"/>
        <v>3630331</v>
      </c>
      <c r="M517" s="2" t="str">
        <f>""</f>
        <v/>
      </c>
    </row>
    <row r="518" spans="1:13" x14ac:dyDescent="0.15">
      <c r="A518" s="2" t="str">
        <f t="shared" si="87"/>
        <v>1881110500</v>
      </c>
      <c r="B518" s="2" t="str">
        <f t="shared" si="88"/>
        <v>佐伯・区政調整</v>
      </c>
      <c r="C518" s="2" t="str">
        <f t="shared" si="84"/>
        <v>01ｲ00311</v>
      </c>
      <c r="D518" s="2" t="str">
        <f t="shared" si="85"/>
        <v>肘掛椅子</v>
      </c>
      <c r="E518" s="3" t="str">
        <f t="shared" si="90"/>
        <v>肘付</v>
      </c>
      <c r="F518" s="2" t="str">
        <f t="shared" si="91"/>
        <v>０００１</v>
      </c>
      <c r="G518" s="2" t="str">
        <f>"3620003610"</f>
        <v>3620003610</v>
      </c>
      <c r="H518" s="2" t="str">
        <f t="shared" si="86"/>
        <v>001</v>
      </c>
      <c r="I518" s="2" t="str">
        <f t="shared" si="92"/>
        <v>4100401</v>
      </c>
      <c r="J518" s="2">
        <f>31400</f>
        <v>31400</v>
      </c>
      <c r="K518" s="2" t="str">
        <f t="shared" si="89"/>
        <v>脚</v>
      </c>
      <c r="L518" s="2" t="str">
        <f t="shared" si="93"/>
        <v>3630331</v>
      </c>
      <c r="M518" s="2" t="str">
        <f>""</f>
        <v/>
      </c>
    </row>
    <row r="519" spans="1:13" x14ac:dyDescent="0.15">
      <c r="A519" s="2" t="str">
        <f t="shared" si="87"/>
        <v>1881110500</v>
      </c>
      <c r="B519" s="2" t="str">
        <f t="shared" si="88"/>
        <v>佐伯・区政調整</v>
      </c>
      <c r="C519" s="2" t="str">
        <f t="shared" si="84"/>
        <v>01ｲ00311</v>
      </c>
      <c r="D519" s="2" t="str">
        <f t="shared" si="85"/>
        <v>肘掛椅子</v>
      </c>
      <c r="E519" s="3" t="str">
        <f t="shared" si="90"/>
        <v>肘付</v>
      </c>
      <c r="F519" s="2" t="str">
        <f t="shared" si="91"/>
        <v>０００１</v>
      </c>
      <c r="G519" s="2" t="str">
        <f>"3620003611"</f>
        <v>3620003611</v>
      </c>
      <c r="H519" s="2" t="str">
        <f t="shared" si="86"/>
        <v>001</v>
      </c>
      <c r="I519" s="2" t="str">
        <f t="shared" si="92"/>
        <v>4100401</v>
      </c>
      <c r="J519" s="2">
        <f>31400</f>
        <v>31400</v>
      </c>
      <c r="K519" s="2" t="str">
        <f t="shared" si="89"/>
        <v>脚</v>
      </c>
      <c r="L519" s="2" t="str">
        <f t="shared" si="93"/>
        <v>3630331</v>
      </c>
      <c r="M519" s="2" t="str">
        <f>""</f>
        <v/>
      </c>
    </row>
    <row r="520" spans="1:13" x14ac:dyDescent="0.15">
      <c r="A520" s="2" t="str">
        <f t="shared" si="87"/>
        <v>1881110500</v>
      </c>
      <c r="B520" s="2" t="str">
        <f t="shared" si="88"/>
        <v>佐伯・区政調整</v>
      </c>
      <c r="C520" s="2" t="str">
        <f t="shared" si="84"/>
        <v>01ｲ00311</v>
      </c>
      <c r="D520" s="2" t="str">
        <f t="shared" si="85"/>
        <v>肘掛椅子</v>
      </c>
      <c r="E520" s="3" t="str">
        <f t="shared" si="90"/>
        <v>肘付</v>
      </c>
      <c r="F520" s="2" t="str">
        <f t="shared" si="91"/>
        <v>０００１</v>
      </c>
      <c r="G520" s="2" t="str">
        <f>"3620003612"</f>
        <v>3620003612</v>
      </c>
      <c r="H520" s="2" t="str">
        <f t="shared" si="86"/>
        <v>001</v>
      </c>
      <c r="I520" s="2" t="str">
        <f t="shared" si="92"/>
        <v>4100401</v>
      </c>
      <c r="J520" s="2">
        <f>31400</f>
        <v>31400</v>
      </c>
      <c r="K520" s="2" t="str">
        <f t="shared" si="89"/>
        <v>脚</v>
      </c>
      <c r="L520" s="2" t="str">
        <f t="shared" si="93"/>
        <v>3630331</v>
      </c>
      <c r="M520" s="2" t="str">
        <f>""</f>
        <v/>
      </c>
    </row>
    <row r="521" spans="1:13" x14ac:dyDescent="0.15">
      <c r="A521" s="2" t="str">
        <f t="shared" si="87"/>
        <v>1881110500</v>
      </c>
      <c r="B521" s="2" t="str">
        <f t="shared" si="88"/>
        <v>佐伯・区政調整</v>
      </c>
      <c r="C521" s="2" t="str">
        <f t="shared" si="84"/>
        <v>01ｲ00311</v>
      </c>
      <c r="D521" s="2" t="str">
        <f t="shared" si="85"/>
        <v>肘掛椅子</v>
      </c>
      <c r="E521" s="3" t="str">
        <f t="shared" si="90"/>
        <v>肘付</v>
      </c>
      <c r="F521" s="2" t="str">
        <f t="shared" si="91"/>
        <v>０００１</v>
      </c>
      <c r="G521" s="2" t="str">
        <f>"3620003613"</f>
        <v>3620003613</v>
      </c>
      <c r="H521" s="2" t="str">
        <f t="shared" si="86"/>
        <v>001</v>
      </c>
      <c r="I521" s="2" t="str">
        <f t="shared" si="92"/>
        <v>4100401</v>
      </c>
      <c r="J521" s="2">
        <f>31400</f>
        <v>31400</v>
      </c>
      <c r="K521" s="2" t="str">
        <f t="shared" si="89"/>
        <v>脚</v>
      </c>
      <c r="L521" s="2" t="str">
        <f t="shared" si="93"/>
        <v>3630331</v>
      </c>
      <c r="M521" s="2" t="str">
        <f>""</f>
        <v/>
      </c>
    </row>
    <row r="522" spans="1:13" x14ac:dyDescent="0.15">
      <c r="A522" s="2" t="str">
        <f t="shared" si="87"/>
        <v>1881110500</v>
      </c>
      <c r="B522" s="2" t="str">
        <f t="shared" si="88"/>
        <v>佐伯・区政調整</v>
      </c>
      <c r="C522" s="2" t="str">
        <f t="shared" ref="C522:C585" si="94">"01ｲ00311"</f>
        <v>01ｲ00311</v>
      </c>
      <c r="D522" s="2" t="str">
        <f t="shared" ref="D522:D585" si="95">"肘掛椅子"</f>
        <v>肘掛椅子</v>
      </c>
      <c r="E522" s="3" t="str">
        <f t="shared" si="90"/>
        <v>肘付</v>
      </c>
      <c r="F522" s="2" t="str">
        <f t="shared" si="91"/>
        <v>０００１</v>
      </c>
      <c r="G522" s="2" t="str">
        <f>"3620003614"</f>
        <v>3620003614</v>
      </c>
      <c r="H522" s="2" t="str">
        <f t="shared" ref="H522:H585" si="96">"001"</f>
        <v>001</v>
      </c>
      <c r="I522" s="2" t="str">
        <f t="shared" si="92"/>
        <v>4100401</v>
      </c>
      <c r="J522" s="2">
        <f>31400</f>
        <v>31400</v>
      </c>
      <c r="K522" s="2" t="str">
        <f t="shared" si="89"/>
        <v>脚</v>
      </c>
      <c r="L522" s="2" t="str">
        <f t="shared" si="93"/>
        <v>3630331</v>
      </c>
      <c r="M522" s="2" t="str">
        <f>""</f>
        <v/>
      </c>
    </row>
    <row r="523" spans="1:13" x14ac:dyDescent="0.15">
      <c r="A523" s="2" t="str">
        <f t="shared" si="87"/>
        <v>1881110500</v>
      </c>
      <c r="B523" s="2" t="str">
        <f t="shared" si="88"/>
        <v>佐伯・区政調整</v>
      </c>
      <c r="C523" s="2" t="str">
        <f t="shared" si="94"/>
        <v>01ｲ00311</v>
      </c>
      <c r="D523" s="2" t="str">
        <f t="shared" si="95"/>
        <v>肘掛椅子</v>
      </c>
      <c r="E523" s="3" t="str">
        <f t="shared" si="90"/>
        <v>肘付</v>
      </c>
      <c r="F523" s="2" t="str">
        <f t="shared" si="91"/>
        <v>０００１</v>
      </c>
      <c r="G523" s="2" t="str">
        <f>"3620003615"</f>
        <v>3620003615</v>
      </c>
      <c r="H523" s="2" t="str">
        <f t="shared" si="96"/>
        <v>001</v>
      </c>
      <c r="I523" s="2" t="str">
        <f t="shared" si="92"/>
        <v>4100401</v>
      </c>
      <c r="J523" s="2">
        <f>31400</f>
        <v>31400</v>
      </c>
      <c r="K523" s="2" t="str">
        <f t="shared" si="89"/>
        <v>脚</v>
      </c>
      <c r="L523" s="2" t="str">
        <f t="shared" si="93"/>
        <v>3630331</v>
      </c>
      <c r="M523" s="2" t="str">
        <f>""</f>
        <v/>
      </c>
    </row>
    <row r="524" spans="1:13" x14ac:dyDescent="0.15">
      <c r="A524" s="2" t="str">
        <f t="shared" si="87"/>
        <v>1881110500</v>
      </c>
      <c r="B524" s="2" t="str">
        <f t="shared" si="88"/>
        <v>佐伯・区政調整</v>
      </c>
      <c r="C524" s="2" t="str">
        <f t="shared" si="94"/>
        <v>01ｲ00311</v>
      </c>
      <c r="D524" s="2" t="str">
        <f t="shared" si="95"/>
        <v>肘掛椅子</v>
      </c>
      <c r="E524" s="3" t="str">
        <f t="shared" si="90"/>
        <v>肘付</v>
      </c>
      <c r="F524" s="2" t="str">
        <f t="shared" si="91"/>
        <v>０００１</v>
      </c>
      <c r="G524" s="2" t="str">
        <f>"3620003616"</f>
        <v>3620003616</v>
      </c>
      <c r="H524" s="2" t="str">
        <f t="shared" si="96"/>
        <v>001</v>
      </c>
      <c r="I524" s="2" t="str">
        <f t="shared" si="92"/>
        <v>4100401</v>
      </c>
      <c r="J524" s="2">
        <f>31400</f>
        <v>31400</v>
      </c>
      <c r="K524" s="2" t="str">
        <f t="shared" si="89"/>
        <v>脚</v>
      </c>
      <c r="L524" s="2" t="str">
        <f t="shared" si="93"/>
        <v>3630331</v>
      </c>
      <c r="M524" s="2" t="str">
        <f>""</f>
        <v/>
      </c>
    </row>
    <row r="525" spans="1:13" x14ac:dyDescent="0.15">
      <c r="A525" s="2" t="str">
        <f t="shared" si="87"/>
        <v>1881110500</v>
      </c>
      <c r="B525" s="2" t="str">
        <f t="shared" si="88"/>
        <v>佐伯・区政調整</v>
      </c>
      <c r="C525" s="2" t="str">
        <f t="shared" si="94"/>
        <v>01ｲ00311</v>
      </c>
      <c r="D525" s="2" t="str">
        <f t="shared" si="95"/>
        <v>肘掛椅子</v>
      </c>
      <c r="E525" s="3" t="str">
        <f t="shared" si="90"/>
        <v>肘付</v>
      </c>
      <c r="F525" s="2" t="str">
        <f t="shared" si="91"/>
        <v>０００１</v>
      </c>
      <c r="G525" s="2" t="str">
        <f>"3620003617"</f>
        <v>3620003617</v>
      </c>
      <c r="H525" s="2" t="str">
        <f t="shared" si="96"/>
        <v>001</v>
      </c>
      <c r="I525" s="2" t="str">
        <f t="shared" si="92"/>
        <v>4100401</v>
      </c>
      <c r="J525" s="2">
        <f>31400</f>
        <v>31400</v>
      </c>
      <c r="K525" s="2" t="str">
        <f t="shared" si="89"/>
        <v>脚</v>
      </c>
      <c r="L525" s="2" t="str">
        <f t="shared" si="93"/>
        <v>3630331</v>
      </c>
      <c r="M525" s="2" t="str">
        <f>""</f>
        <v/>
      </c>
    </row>
    <row r="526" spans="1:13" x14ac:dyDescent="0.15">
      <c r="A526" s="2" t="str">
        <f t="shared" si="87"/>
        <v>1881110500</v>
      </c>
      <c r="B526" s="2" t="str">
        <f t="shared" si="88"/>
        <v>佐伯・区政調整</v>
      </c>
      <c r="C526" s="2" t="str">
        <f t="shared" si="94"/>
        <v>01ｲ00311</v>
      </c>
      <c r="D526" s="2" t="str">
        <f t="shared" si="95"/>
        <v>肘掛椅子</v>
      </c>
      <c r="E526" s="3" t="str">
        <f t="shared" si="90"/>
        <v>肘付</v>
      </c>
      <c r="F526" s="2" t="str">
        <f t="shared" si="91"/>
        <v>０００１</v>
      </c>
      <c r="G526" s="2" t="str">
        <f>"3620003618"</f>
        <v>3620003618</v>
      </c>
      <c r="H526" s="2" t="str">
        <f t="shared" si="96"/>
        <v>001</v>
      </c>
      <c r="I526" s="2" t="str">
        <f t="shared" si="92"/>
        <v>4100401</v>
      </c>
      <c r="J526" s="2">
        <f>31400</f>
        <v>31400</v>
      </c>
      <c r="K526" s="2" t="str">
        <f t="shared" si="89"/>
        <v>脚</v>
      </c>
      <c r="L526" s="2" t="str">
        <f t="shared" si="93"/>
        <v>3630331</v>
      </c>
      <c r="M526" s="2" t="str">
        <f>""</f>
        <v/>
      </c>
    </row>
    <row r="527" spans="1:13" x14ac:dyDescent="0.15">
      <c r="A527" s="2" t="str">
        <f t="shared" si="87"/>
        <v>1881110500</v>
      </c>
      <c r="B527" s="2" t="str">
        <f t="shared" si="88"/>
        <v>佐伯・区政調整</v>
      </c>
      <c r="C527" s="2" t="str">
        <f t="shared" si="94"/>
        <v>01ｲ00311</v>
      </c>
      <c r="D527" s="2" t="str">
        <f t="shared" si="95"/>
        <v>肘掛椅子</v>
      </c>
      <c r="E527" s="3" t="str">
        <f t="shared" si="90"/>
        <v>肘付</v>
      </c>
      <c r="F527" s="2" t="str">
        <f t="shared" si="91"/>
        <v>０００１</v>
      </c>
      <c r="G527" s="2" t="str">
        <f>"3620003619"</f>
        <v>3620003619</v>
      </c>
      <c r="H527" s="2" t="str">
        <f t="shared" si="96"/>
        <v>001</v>
      </c>
      <c r="I527" s="2" t="str">
        <f t="shared" si="92"/>
        <v>4100401</v>
      </c>
      <c r="J527" s="2">
        <f>31400</f>
        <v>31400</v>
      </c>
      <c r="K527" s="2" t="str">
        <f t="shared" si="89"/>
        <v>脚</v>
      </c>
      <c r="L527" s="2" t="str">
        <f t="shared" si="93"/>
        <v>3630331</v>
      </c>
      <c r="M527" s="2" t="str">
        <f>""</f>
        <v/>
      </c>
    </row>
    <row r="528" spans="1:13" x14ac:dyDescent="0.15">
      <c r="A528" s="2" t="str">
        <f t="shared" si="87"/>
        <v>1881110500</v>
      </c>
      <c r="B528" s="2" t="str">
        <f t="shared" si="88"/>
        <v>佐伯・区政調整</v>
      </c>
      <c r="C528" s="2" t="str">
        <f t="shared" si="94"/>
        <v>01ｲ00311</v>
      </c>
      <c r="D528" s="2" t="str">
        <f t="shared" si="95"/>
        <v>肘掛椅子</v>
      </c>
      <c r="E528" s="3" t="str">
        <f t="shared" si="90"/>
        <v>肘付</v>
      </c>
      <c r="F528" s="2" t="str">
        <f t="shared" si="91"/>
        <v>０００１</v>
      </c>
      <c r="G528" s="2" t="str">
        <f>"3620003620"</f>
        <v>3620003620</v>
      </c>
      <c r="H528" s="2" t="str">
        <f t="shared" si="96"/>
        <v>001</v>
      </c>
      <c r="I528" s="2" t="str">
        <f t="shared" si="92"/>
        <v>4100401</v>
      </c>
      <c r="J528" s="2">
        <f>31400</f>
        <v>31400</v>
      </c>
      <c r="K528" s="2" t="str">
        <f t="shared" si="89"/>
        <v>脚</v>
      </c>
      <c r="L528" s="2" t="str">
        <f t="shared" si="93"/>
        <v>3630331</v>
      </c>
      <c r="M528" s="2" t="str">
        <f>""</f>
        <v/>
      </c>
    </row>
    <row r="529" spans="1:13" x14ac:dyDescent="0.15">
      <c r="A529" s="2" t="str">
        <f t="shared" si="87"/>
        <v>1881110500</v>
      </c>
      <c r="B529" s="2" t="str">
        <f t="shared" si="88"/>
        <v>佐伯・区政調整</v>
      </c>
      <c r="C529" s="2" t="str">
        <f t="shared" si="94"/>
        <v>01ｲ00311</v>
      </c>
      <c r="D529" s="2" t="str">
        <f t="shared" si="95"/>
        <v>肘掛椅子</v>
      </c>
      <c r="E529" s="3" t="str">
        <f t="shared" si="90"/>
        <v>肘付</v>
      </c>
      <c r="F529" s="2" t="str">
        <f t="shared" si="91"/>
        <v>０００１</v>
      </c>
      <c r="G529" s="2" t="str">
        <f>"3620003621"</f>
        <v>3620003621</v>
      </c>
      <c r="H529" s="2" t="str">
        <f t="shared" si="96"/>
        <v>001</v>
      </c>
      <c r="I529" s="2" t="str">
        <f t="shared" si="92"/>
        <v>4100401</v>
      </c>
      <c r="J529" s="2">
        <f>31400</f>
        <v>31400</v>
      </c>
      <c r="K529" s="2" t="str">
        <f t="shared" si="89"/>
        <v>脚</v>
      </c>
      <c r="L529" s="2" t="str">
        <f t="shared" si="93"/>
        <v>3630331</v>
      </c>
      <c r="M529" s="2" t="str">
        <f>""</f>
        <v/>
      </c>
    </row>
    <row r="530" spans="1:13" x14ac:dyDescent="0.15">
      <c r="A530" s="2" t="str">
        <f t="shared" si="87"/>
        <v>1881110500</v>
      </c>
      <c r="B530" s="2" t="str">
        <f t="shared" si="88"/>
        <v>佐伯・区政調整</v>
      </c>
      <c r="C530" s="2" t="str">
        <f t="shared" si="94"/>
        <v>01ｲ00311</v>
      </c>
      <c r="D530" s="2" t="str">
        <f t="shared" si="95"/>
        <v>肘掛椅子</v>
      </c>
      <c r="E530" s="3" t="str">
        <f t="shared" si="90"/>
        <v>肘付</v>
      </c>
      <c r="F530" s="2" t="str">
        <f t="shared" si="91"/>
        <v>０００１</v>
      </c>
      <c r="G530" s="2" t="str">
        <f>"3620003622"</f>
        <v>3620003622</v>
      </c>
      <c r="H530" s="2" t="str">
        <f t="shared" si="96"/>
        <v>001</v>
      </c>
      <c r="I530" s="2" t="str">
        <f t="shared" si="92"/>
        <v>4100401</v>
      </c>
      <c r="J530" s="2">
        <f>31400</f>
        <v>31400</v>
      </c>
      <c r="K530" s="2" t="str">
        <f t="shared" si="89"/>
        <v>脚</v>
      </c>
      <c r="L530" s="2" t="str">
        <f t="shared" si="93"/>
        <v>3630331</v>
      </c>
      <c r="M530" s="2" t="str">
        <f>""</f>
        <v/>
      </c>
    </row>
    <row r="531" spans="1:13" x14ac:dyDescent="0.15">
      <c r="A531" s="2" t="str">
        <f t="shared" si="87"/>
        <v>1881110500</v>
      </c>
      <c r="B531" s="2" t="str">
        <f t="shared" si="88"/>
        <v>佐伯・区政調整</v>
      </c>
      <c r="C531" s="2" t="str">
        <f t="shared" si="94"/>
        <v>01ｲ00311</v>
      </c>
      <c r="D531" s="2" t="str">
        <f t="shared" si="95"/>
        <v>肘掛椅子</v>
      </c>
      <c r="E531" s="3" t="str">
        <f t="shared" si="90"/>
        <v>肘付</v>
      </c>
      <c r="F531" s="2" t="str">
        <f t="shared" si="91"/>
        <v>０００１</v>
      </c>
      <c r="G531" s="2" t="str">
        <f>"3620003623"</f>
        <v>3620003623</v>
      </c>
      <c r="H531" s="2" t="str">
        <f t="shared" si="96"/>
        <v>001</v>
      </c>
      <c r="I531" s="2" t="str">
        <f t="shared" si="92"/>
        <v>4100401</v>
      </c>
      <c r="J531" s="2">
        <f>31400</f>
        <v>31400</v>
      </c>
      <c r="K531" s="2" t="str">
        <f t="shared" si="89"/>
        <v>脚</v>
      </c>
      <c r="L531" s="2" t="str">
        <f t="shared" si="93"/>
        <v>3630331</v>
      </c>
      <c r="M531" s="2" t="str">
        <f>""</f>
        <v/>
      </c>
    </row>
    <row r="532" spans="1:13" x14ac:dyDescent="0.15">
      <c r="A532" s="2" t="str">
        <f t="shared" si="87"/>
        <v>1881110500</v>
      </c>
      <c r="B532" s="2" t="str">
        <f t="shared" si="88"/>
        <v>佐伯・区政調整</v>
      </c>
      <c r="C532" s="2" t="str">
        <f t="shared" si="94"/>
        <v>01ｲ00311</v>
      </c>
      <c r="D532" s="2" t="str">
        <f t="shared" si="95"/>
        <v>肘掛椅子</v>
      </c>
      <c r="E532" s="3" t="str">
        <f t="shared" si="90"/>
        <v>肘付</v>
      </c>
      <c r="F532" s="2" t="str">
        <f t="shared" si="91"/>
        <v>０００１</v>
      </c>
      <c r="G532" s="2" t="str">
        <f>"3620003624"</f>
        <v>3620003624</v>
      </c>
      <c r="H532" s="2" t="str">
        <f t="shared" si="96"/>
        <v>001</v>
      </c>
      <c r="I532" s="2" t="str">
        <f t="shared" si="92"/>
        <v>4100401</v>
      </c>
      <c r="J532" s="2">
        <f>31400</f>
        <v>31400</v>
      </c>
      <c r="K532" s="2" t="str">
        <f t="shared" si="89"/>
        <v>脚</v>
      </c>
      <c r="L532" s="2" t="str">
        <f t="shared" si="93"/>
        <v>3630331</v>
      </c>
      <c r="M532" s="2" t="str">
        <f>""</f>
        <v/>
      </c>
    </row>
    <row r="533" spans="1:13" x14ac:dyDescent="0.15">
      <c r="A533" s="2" t="str">
        <f t="shared" si="87"/>
        <v>1881110500</v>
      </c>
      <c r="B533" s="2" t="str">
        <f t="shared" si="88"/>
        <v>佐伯・区政調整</v>
      </c>
      <c r="C533" s="2" t="str">
        <f t="shared" si="94"/>
        <v>01ｲ00311</v>
      </c>
      <c r="D533" s="2" t="str">
        <f t="shared" si="95"/>
        <v>肘掛椅子</v>
      </c>
      <c r="E533" s="3" t="str">
        <f t="shared" si="90"/>
        <v>肘付</v>
      </c>
      <c r="F533" s="2" t="str">
        <f t="shared" si="91"/>
        <v>０００１</v>
      </c>
      <c r="G533" s="2" t="str">
        <f>"3620003625"</f>
        <v>3620003625</v>
      </c>
      <c r="H533" s="2" t="str">
        <f t="shared" si="96"/>
        <v>001</v>
      </c>
      <c r="I533" s="2" t="str">
        <f t="shared" si="92"/>
        <v>4100401</v>
      </c>
      <c r="J533" s="2">
        <f>31400</f>
        <v>31400</v>
      </c>
      <c r="K533" s="2" t="str">
        <f t="shared" si="89"/>
        <v>脚</v>
      </c>
      <c r="L533" s="2" t="str">
        <f t="shared" si="93"/>
        <v>3630331</v>
      </c>
      <c r="M533" s="2" t="str">
        <f>""</f>
        <v/>
      </c>
    </row>
    <row r="534" spans="1:13" x14ac:dyDescent="0.15">
      <c r="A534" s="2" t="str">
        <f t="shared" si="87"/>
        <v>1881110500</v>
      </c>
      <c r="B534" s="2" t="str">
        <f t="shared" si="88"/>
        <v>佐伯・区政調整</v>
      </c>
      <c r="C534" s="2" t="str">
        <f t="shared" si="94"/>
        <v>01ｲ00311</v>
      </c>
      <c r="D534" s="2" t="str">
        <f t="shared" si="95"/>
        <v>肘掛椅子</v>
      </c>
      <c r="E534" s="3" t="str">
        <f t="shared" si="90"/>
        <v>肘付</v>
      </c>
      <c r="F534" s="2" t="str">
        <f t="shared" si="91"/>
        <v>０００１</v>
      </c>
      <c r="G534" s="2" t="str">
        <f>"3620003626"</f>
        <v>3620003626</v>
      </c>
      <c r="H534" s="2" t="str">
        <f t="shared" si="96"/>
        <v>001</v>
      </c>
      <c r="I534" s="2" t="str">
        <f t="shared" si="92"/>
        <v>4100401</v>
      </c>
      <c r="J534" s="2">
        <f>31400</f>
        <v>31400</v>
      </c>
      <c r="K534" s="2" t="str">
        <f t="shared" si="89"/>
        <v>脚</v>
      </c>
      <c r="L534" s="2" t="str">
        <f t="shared" si="93"/>
        <v>3630331</v>
      </c>
      <c r="M534" s="2" t="str">
        <f>""</f>
        <v/>
      </c>
    </row>
    <row r="535" spans="1:13" x14ac:dyDescent="0.15">
      <c r="A535" s="2" t="str">
        <f t="shared" si="87"/>
        <v>1881110500</v>
      </c>
      <c r="B535" s="2" t="str">
        <f t="shared" si="88"/>
        <v>佐伯・区政調整</v>
      </c>
      <c r="C535" s="2" t="str">
        <f t="shared" si="94"/>
        <v>01ｲ00311</v>
      </c>
      <c r="D535" s="2" t="str">
        <f t="shared" si="95"/>
        <v>肘掛椅子</v>
      </c>
      <c r="E535" s="3" t="str">
        <f t="shared" si="90"/>
        <v>肘付</v>
      </c>
      <c r="F535" s="2" t="str">
        <f t="shared" si="91"/>
        <v>０００１</v>
      </c>
      <c r="G535" s="2" t="str">
        <f>"3620003627"</f>
        <v>3620003627</v>
      </c>
      <c r="H535" s="2" t="str">
        <f t="shared" si="96"/>
        <v>001</v>
      </c>
      <c r="I535" s="2" t="str">
        <f t="shared" si="92"/>
        <v>4100401</v>
      </c>
      <c r="J535" s="2">
        <f>31400</f>
        <v>31400</v>
      </c>
      <c r="K535" s="2" t="str">
        <f t="shared" si="89"/>
        <v>脚</v>
      </c>
      <c r="L535" s="2" t="str">
        <f t="shared" si="93"/>
        <v>3630331</v>
      </c>
      <c r="M535" s="2" t="str">
        <f>""</f>
        <v/>
      </c>
    </row>
    <row r="536" spans="1:13" x14ac:dyDescent="0.15">
      <c r="A536" s="2" t="str">
        <f t="shared" si="87"/>
        <v>1881110500</v>
      </c>
      <c r="B536" s="2" t="str">
        <f t="shared" si="88"/>
        <v>佐伯・区政調整</v>
      </c>
      <c r="C536" s="2" t="str">
        <f t="shared" si="94"/>
        <v>01ｲ00311</v>
      </c>
      <c r="D536" s="2" t="str">
        <f t="shared" si="95"/>
        <v>肘掛椅子</v>
      </c>
      <c r="E536" s="3" t="str">
        <f t="shared" si="90"/>
        <v>肘付</v>
      </c>
      <c r="F536" s="2" t="str">
        <f t="shared" si="91"/>
        <v>０００１</v>
      </c>
      <c r="G536" s="2" t="str">
        <f>"3620003628"</f>
        <v>3620003628</v>
      </c>
      <c r="H536" s="2" t="str">
        <f t="shared" si="96"/>
        <v>001</v>
      </c>
      <c r="I536" s="2" t="str">
        <f t="shared" si="92"/>
        <v>4100401</v>
      </c>
      <c r="J536" s="2">
        <f>31400</f>
        <v>31400</v>
      </c>
      <c r="K536" s="2" t="str">
        <f t="shared" si="89"/>
        <v>脚</v>
      </c>
      <c r="L536" s="2" t="str">
        <f t="shared" si="93"/>
        <v>3630331</v>
      </c>
      <c r="M536" s="2" t="str">
        <f>""</f>
        <v/>
      </c>
    </row>
    <row r="537" spans="1:13" x14ac:dyDescent="0.15">
      <c r="A537" s="2" t="str">
        <f t="shared" si="87"/>
        <v>1881110500</v>
      </c>
      <c r="B537" s="2" t="str">
        <f t="shared" si="88"/>
        <v>佐伯・区政調整</v>
      </c>
      <c r="C537" s="2" t="str">
        <f t="shared" si="94"/>
        <v>01ｲ00311</v>
      </c>
      <c r="D537" s="2" t="str">
        <f t="shared" si="95"/>
        <v>肘掛椅子</v>
      </c>
      <c r="E537" s="3" t="str">
        <f t="shared" si="90"/>
        <v>肘付</v>
      </c>
      <c r="F537" s="2" t="str">
        <f t="shared" si="91"/>
        <v>０００１</v>
      </c>
      <c r="G537" s="2" t="str">
        <f>"3620003629"</f>
        <v>3620003629</v>
      </c>
      <c r="H537" s="2" t="str">
        <f t="shared" si="96"/>
        <v>001</v>
      </c>
      <c r="I537" s="2" t="str">
        <f t="shared" si="92"/>
        <v>4100401</v>
      </c>
      <c r="J537" s="2">
        <f>31400</f>
        <v>31400</v>
      </c>
      <c r="K537" s="2" t="str">
        <f t="shared" si="89"/>
        <v>脚</v>
      </c>
      <c r="L537" s="2" t="str">
        <f t="shared" si="93"/>
        <v>3630331</v>
      </c>
      <c r="M537" s="2" t="str">
        <f>""</f>
        <v/>
      </c>
    </row>
    <row r="538" spans="1:13" x14ac:dyDescent="0.15">
      <c r="A538" s="2" t="str">
        <f t="shared" ref="A538:A601" si="97">"1881110500"</f>
        <v>1881110500</v>
      </c>
      <c r="B538" s="2" t="str">
        <f t="shared" ref="B538:B601" si="98">"佐伯・区政調整"</f>
        <v>佐伯・区政調整</v>
      </c>
      <c r="C538" s="2" t="str">
        <f t="shared" si="94"/>
        <v>01ｲ00311</v>
      </c>
      <c r="D538" s="2" t="str">
        <f t="shared" si="95"/>
        <v>肘掛椅子</v>
      </c>
      <c r="E538" s="3" t="str">
        <f t="shared" si="90"/>
        <v>肘付</v>
      </c>
      <c r="F538" s="2" t="str">
        <f t="shared" si="91"/>
        <v>０００１</v>
      </c>
      <c r="G538" s="2" t="str">
        <f>"3620003630"</f>
        <v>3620003630</v>
      </c>
      <c r="H538" s="2" t="str">
        <f t="shared" si="96"/>
        <v>001</v>
      </c>
      <c r="I538" s="2" t="str">
        <f t="shared" si="92"/>
        <v>4100401</v>
      </c>
      <c r="J538" s="2">
        <f>31400</f>
        <v>31400</v>
      </c>
      <c r="K538" s="2" t="str">
        <f t="shared" ref="K538:K601" si="99">"脚"</f>
        <v>脚</v>
      </c>
      <c r="L538" s="2" t="str">
        <f t="shared" si="93"/>
        <v>3630331</v>
      </c>
      <c r="M538" s="2" t="str">
        <f>""</f>
        <v/>
      </c>
    </row>
    <row r="539" spans="1:13" x14ac:dyDescent="0.15">
      <c r="A539" s="2" t="str">
        <f t="shared" si="97"/>
        <v>1881110500</v>
      </c>
      <c r="B539" s="2" t="str">
        <f t="shared" si="98"/>
        <v>佐伯・区政調整</v>
      </c>
      <c r="C539" s="2" t="str">
        <f t="shared" si="94"/>
        <v>01ｲ00311</v>
      </c>
      <c r="D539" s="2" t="str">
        <f t="shared" si="95"/>
        <v>肘掛椅子</v>
      </c>
      <c r="E539" s="3" t="str">
        <f t="shared" si="90"/>
        <v>肘付</v>
      </c>
      <c r="F539" s="2" t="str">
        <f t="shared" si="91"/>
        <v>０００１</v>
      </c>
      <c r="G539" s="2" t="str">
        <f>"3620003631"</f>
        <v>3620003631</v>
      </c>
      <c r="H539" s="2" t="str">
        <f t="shared" si="96"/>
        <v>001</v>
      </c>
      <c r="I539" s="2" t="str">
        <f t="shared" si="92"/>
        <v>4100401</v>
      </c>
      <c r="J539" s="2">
        <f>31400</f>
        <v>31400</v>
      </c>
      <c r="K539" s="2" t="str">
        <f t="shared" si="99"/>
        <v>脚</v>
      </c>
      <c r="L539" s="2" t="str">
        <f t="shared" si="93"/>
        <v>3630331</v>
      </c>
      <c r="M539" s="2" t="str">
        <f>""</f>
        <v/>
      </c>
    </row>
    <row r="540" spans="1:13" x14ac:dyDescent="0.15">
      <c r="A540" s="2" t="str">
        <f t="shared" si="97"/>
        <v>1881110500</v>
      </c>
      <c r="B540" s="2" t="str">
        <f t="shared" si="98"/>
        <v>佐伯・区政調整</v>
      </c>
      <c r="C540" s="2" t="str">
        <f t="shared" si="94"/>
        <v>01ｲ00311</v>
      </c>
      <c r="D540" s="2" t="str">
        <f t="shared" si="95"/>
        <v>肘掛椅子</v>
      </c>
      <c r="E540" s="3" t="str">
        <f t="shared" si="90"/>
        <v>肘付</v>
      </c>
      <c r="F540" s="2" t="str">
        <f t="shared" si="91"/>
        <v>０００１</v>
      </c>
      <c r="G540" s="2" t="str">
        <f>"3620003632"</f>
        <v>3620003632</v>
      </c>
      <c r="H540" s="2" t="str">
        <f t="shared" si="96"/>
        <v>001</v>
      </c>
      <c r="I540" s="2" t="str">
        <f t="shared" si="92"/>
        <v>4100401</v>
      </c>
      <c r="J540" s="2">
        <f>31400</f>
        <v>31400</v>
      </c>
      <c r="K540" s="2" t="str">
        <f t="shared" si="99"/>
        <v>脚</v>
      </c>
      <c r="L540" s="2" t="str">
        <f t="shared" si="93"/>
        <v>3630331</v>
      </c>
      <c r="M540" s="2" t="str">
        <f>""</f>
        <v/>
      </c>
    </row>
    <row r="541" spans="1:13" x14ac:dyDescent="0.15">
      <c r="A541" s="2" t="str">
        <f t="shared" si="97"/>
        <v>1881110500</v>
      </c>
      <c r="B541" s="2" t="str">
        <f t="shared" si="98"/>
        <v>佐伯・区政調整</v>
      </c>
      <c r="C541" s="2" t="str">
        <f t="shared" si="94"/>
        <v>01ｲ00311</v>
      </c>
      <c r="D541" s="2" t="str">
        <f t="shared" si="95"/>
        <v>肘掛椅子</v>
      </c>
      <c r="E541" s="3" t="str">
        <f t="shared" si="90"/>
        <v>肘付</v>
      </c>
      <c r="F541" s="2" t="str">
        <f t="shared" si="91"/>
        <v>０００１</v>
      </c>
      <c r="G541" s="2" t="str">
        <f>"3620003633"</f>
        <v>3620003633</v>
      </c>
      <c r="H541" s="2" t="str">
        <f t="shared" si="96"/>
        <v>001</v>
      </c>
      <c r="I541" s="2" t="str">
        <f t="shared" si="92"/>
        <v>4100401</v>
      </c>
      <c r="J541" s="2">
        <f>31400</f>
        <v>31400</v>
      </c>
      <c r="K541" s="2" t="str">
        <f t="shared" si="99"/>
        <v>脚</v>
      </c>
      <c r="L541" s="2" t="str">
        <f t="shared" si="93"/>
        <v>3630331</v>
      </c>
      <c r="M541" s="2" t="str">
        <f>""</f>
        <v/>
      </c>
    </row>
    <row r="542" spans="1:13" x14ac:dyDescent="0.15">
      <c r="A542" s="2" t="str">
        <f t="shared" si="97"/>
        <v>1881110500</v>
      </c>
      <c r="B542" s="2" t="str">
        <f t="shared" si="98"/>
        <v>佐伯・区政調整</v>
      </c>
      <c r="C542" s="2" t="str">
        <f t="shared" si="94"/>
        <v>01ｲ00311</v>
      </c>
      <c r="D542" s="2" t="str">
        <f t="shared" si="95"/>
        <v>肘掛椅子</v>
      </c>
      <c r="E542" s="3" t="str">
        <f t="shared" si="90"/>
        <v>肘付</v>
      </c>
      <c r="F542" s="2" t="str">
        <f t="shared" si="91"/>
        <v>０００１</v>
      </c>
      <c r="G542" s="2" t="str">
        <f>"3620003634"</f>
        <v>3620003634</v>
      </c>
      <c r="H542" s="2" t="str">
        <f t="shared" si="96"/>
        <v>001</v>
      </c>
      <c r="I542" s="2" t="str">
        <f t="shared" si="92"/>
        <v>4100401</v>
      </c>
      <c r="J542" s="2">
        <f>31400</f>
        <v>31400</v>
      </c>
      <c r="K542" s="2" t="str">
        <f t="shared" si="99"/>
        <v>脚</v>
      </c>
      <c r="L542" s="2" t="str">
        <f t="shared" si="93"/>
        <v>3630331</v>
      </c>
      <c r="M542" s="2" t="str">
        <f>""</f>
        <v/>
      </c>
    </row>
    <row r="543" spans="1:13" x14ac:dyDescent="0.15">
      <c r="A543" s="2" t="str">
        <f t="shared" si="97"/>
        <v>1881110500</v>
      </c>
      <c r="B543" s="2" t="str">
        <f t="shared" si="98"/>
        <v>佐伯・区政調整</v>
      </c>
      <c r="C543" s="2" t="str">
        <f t="shared" si="94"/>
        <v>01ｲ00311</v>
      </c>
      <c r="D543" s="2" t="str">
        <f t="shared" si="95"/>
        <v>肘掛椅子</v>
      </c>
      <c r="E543" s="3" t="str">
        <f t="shared" si="90"/>
        <v>肘付</v>
      </c>
      <c r="F543" s="2" t="str">
        <f t="shared" si="91"/>
        <v>０００１</v>
      </c>
      <c r="G543" s="2" t="str">
        <f>"3620003635"</f>
        <v>3620003635</v>
      </c>
      <c r="H543" s="2" t="str">
        <f t="shared" si="96"/>
        <v>001</v>
      </c>
      <c r="I543" s="2" t="str">
        <f t="shared" si="92"/>
        <v>4100401</v>
      </c>
      <c r="J543" s="2">
        <f>31400</f>
        <v>31400</v>
      </c>
      <c r="K543" s="2" t="str">
        <f t="shared" si="99"/>
        <v>脚</v>
      </c>
      <c r="L543" s="2" t="str">
        <f t="shared" si="93"/>
        <v>3630331</v>
      </c>
      <c r="M543" s="2" t="str">
        <f>""</f>
        <v/>
      </c>
    </row>
    <row r="544" spans="1:13" x14ac:dyDescent="0.15">
      <c r="A544" s="2" t="str">
        <f t="shared" si="97"/>
        <v>1881110500</v>
      </c>
      <c r="B544" s="2" t="str">
        <f t="shared" si="98"/>
        <v>佐伯・区政調整</v>
      </c>
      <c r="C544" s="2" t="str">
        <f t="shared" si="94"/>
        <v>01ｲ00311</v>
      </c>
      <c r="D544" s="2" t="str">
        <f t="shared" si="95"/>
        <v>肘掛椅子</v>
      </c>
      <c r="E544" s="3" t="str">
        <f t="shared" si="90"/>
        <v>肘付</v>
      </c>
      <c r="F544" s="2" t="str">
        <f t="shared" si="91"/>
        <v>０００１</v>
      </c>
      <c r="G544" s="2" t="str">
        <f>"3620003636"</f>
        <v>3620003636</v>
      </c>
      <c r="H544" s="2" t="str">
        <f t="shared" si="96"/>
        <v>001</v>
      </c>
      <c r="I544" s="2" t="str">
        <f t="shared" si="92"/>
        <v>4100401</v>
      </c>
      <c r="J544" s="2">
        <f>31400</f>
        <v>31400</v>
      </c>
      <c r="K544" s="2" t="str">
        <f t="shared" si="99"/>
        <v>脚</v>
      </c>
      <c r="L544" s="2" t="str">
        <f t="shared" si="93"/>
        <v>3630331</v>
      </c>
      <c r="M544" s="2" t="str">
        <f>""</f>
        <v/>
      </c>
    </row>
    <row r="545" spans="1:13" x14ac:dyDescent="0.15">
      <c r="A545" s="2" t="str">
        <f t="shared" si="97"/>
        <v>1881110500</v>
      </c>
      <c r="B545" s="2" t="str">
        <f t="shared" si="98"/>
        <v>佐伯・区政調整</v>
      </c>
      <c r="C545" s="2" t="str">
        <f t="shared" si="94"/>
        <v>01ｲ00311</v>
      </c>
      <c r="D545" s="2" t="str">
        <f t="shared" si="95"/>
        <v>肘掛椅子</v>
      </c>
      <c r="E545" s="3" t="str">
        <f t="shared" si="90"/>
        <v>肘付</v>
      </c>
      <c r="F545" s="2" t="str">
        <f t="shared" si="91"/>
        <v>０００１</v>
      </c>
      <c r="G545" s="2" t="str">
        <f>"3620003637"</f>
        <v>3620003637</v>
      </c>
      <c r="H545" s="2" t="str">
        <f t="shared" si="96"/>
        <v>001</v>
      </c>
      <c r="I545" s="2" t="str">
        <f t="shared" si="92"/>
        <v>4100401</v>
      </c>
      <c r="J545" s="2">
        <f>31400</f>
        <v>31400</v>
      </c>
      <c r="K545" s="2" t="str">
        <f t="shared" si="99"/>
        <v>脚</v>
      </c>
      <c r="L545" s="2" t="str">
        <f t="shared" si="93"/>
        <v>3630331</v>
      </c>
      <c r="M545" s="2" t="str">
        <f>""</f>
        <v/>
      </c>
    </row>
    <row r="546" spans="1:13" x14ac:dyDescent="0.15">
      <c r="A546" s="2" t="str">
        <f t="shared" si="97"/>
        <v>1881110500</v>
      </c>
      <c r="B546" s="2" t="str">
        <f t="shared" si="98"/>
        <v>佐伯・区政調整</v>
      </c>
      <c r="C546" s="2" t="str">
        <f t="shared" si="94"/>
        <v>01ｲ00311</v>
      </c>
      <c r="D546" s="2" t="str">
        <f t="shared" si="95"/>
        <v>肘掛椅子</v>
      </c>
      <c r="E546" s="3" t="str">
        <f t="shared" ref="E546:E609" si="100">"肘付"</f>
        <v>肘付</v>
      </c>
      <c r="F546" s="2" t="str">
        <f t="shared" ref="F546:F609" si="101">"０００１"</f>
        <v>０００１</v>
      </c>
      <c r="G546" s="2" t="str">
        <f>"3620003638"</f>
        <v>3620003638</v>
      </c>
      <c r="H546" s="2" t="str">
        <f t="shared" si="96"/>
        <v>001</v>
      </c>
      <c r="I546" s="2" t="str">
        <f t="shared" ref="I546:I609" si="102">"4100401"</f>
        <v>4100401</v>
      </c>
      <c r="J546" s="2">
        <f>31400</f>
        <v>31400</v>
      </c>
      <c r="K546" s="2" t="str">
        <f t="shared" si="99"/>
        <v>脚</v>
      </c>
      <c r="L546" s="2" t="str">
        <f t="shared" ref="L546:L609" si="103">"3630331"</f>
        <v>3630331</v>
      </c>
      <c r="M546" s="2" t="str">
        <f>""</f>
        <v/>
      </c>
    </row>
    <row r="547" spans="1:13" x14ac:dyDescent="0.15">
      <c r="A547" s="2" t="str">
        <f t="shared" si="97"/>
        <v>1881110500</v>
      </c>
      <c r="B547" s="2" t="str">
        <f t="shared" si="98"/>
        <v>佐伯・区政調整</v>
      </c>
      <c r="C547" s="2" t="str">
        <f t="shared" si="94"/>
        <v>01ｲ00311</v>
      </c>
      <c r="D547" s="2" t="str">
        <f t="shared" si="95"/>
        <v>肘掛椅子</v>
      </c>
      <c r="E547" s="3" t="str">
        <f t="shared" si="100"/>
        <v>肘付</v>
      </c>
      <c r="F547" s="2" t="str">
        <f t="shared" si="101"/>
        <v>０００１</v>
      </c>
      <c r="G547" s="2" t="str">
        <f>"3620003639"</f>
        <v>3620003639</v>
      </c>
      <c r="H547" s="2" t="str">
        <f t="shared" si="96"/>
        <v>001</v>
      </c>
      <c r="I547" s="2" t="str">
        <f t="shared" si="102"/>
        <v>4100401</v>
      </c>
      <c r="J547" s="2">
        <f>31400</f>
        <v>31400</v>
      </c>
      <c r="K547" s="2" t="str">
        <f t="shared" si="99"/>
        <v>脚</v>
      </c>
      <c r="L547" s="2" t="str">
        <f t="shared" si="103"/>
        <v>3630331</v>
      </c>
      <c r="M547" s="2" t="str">
        <f>""</f>
        <v/>
      </c>
    </row>
    <row r="548" spans="1:13" x14ac:dyDescent="0.15">
      <c r="A548" s="2" t="str">
        <f t="shared" si="97"/>
        <v>1881110500</v>
      </c>
      <c r="B548" s="2" t="str">
        <f t="shared" si="98"/>
        <v>佐伯・区政調整</v>
      </c>
      <c r="C548" s="2" t="str">
        <f t="shared" si="94"/>
        <v>01ｲ00311</v>
      </c>
      <c r="D548" s="2" t="str">
        <f t="shared" si="95"/>
        <v>肘掛椅子</v>
      </c>
      <c r="E548" s="3" t="str">
        <f t="shared" si="100"/>
        <v>肘付</v>
      </c>
      <c r="F548" s="2" t="str">
        <f t="shared" si="101"/>
        <v>０００１</v>
      </c>
      <c r="G548" s="2" t="str">
        <f>"3620003640"</f>
        <v>3620003640</v>
      </c>
      <c r="H548" s="2" t="str">
        <f t="shared" si="96"/>
        <v>001</v>
      </c>
      <c r="I548" s="2" t="str">
        <f t="shared" si="102"/>
        <v>4100401</v>
      </c>
      <c r="J548" s="2">
        <f>31400</f>
        <v>31400</v>
      </c>
      <c r="K548" s="2" t="str">
        <f t="shared" si="99"/>
        <v>脚</v>
      </c>
      <c r="L548" s="2" t="str">
        <f t="shared" si="103"/>
        <v>3630331</v>
      </c>
      <c r="M548" s="2" t="str">
        <f>""</f>
        <v/>
      </c>
    </row>
    <row r="549" spans="1:13" x14ac:dyDescent="0.15">
      <c r="A549" s="2" t="str">
        <f t="shared" si="97"/>
        <v>1881110500</v>
      </c>
      <c r="B549" s="2" t="str">
        <f t="shared" si="98"/>
        <v>佐伯・区政調整</v>
      </c>
      <c r="C549" s="2" t="str">
        <f t="shared" si="94"/>
        <v>01ｲ00311</v>
      </c>
      <c r="D549" s="2" t="str">
        <f t="shared" si="95"/>
        <v>肘掛椅子</v>
      </c>
      <c r="E549" s="3" t="str">
        <f t="shared" si="100"/>
        <v>肘付</v>
      </c>
      <c r="F549" s="2" t="str">
        <f t="shared" si="101"/>
        <v>０００１</v>
      </c>
      <c r="G549" s="2" t="str">
        <f>"3620003641"</f>
        <v>3620003641</v>
      </c>
      <c r="H549" s="2" t="str">
        <f t="shared" si="96"/>
        <v>001</v>
      </c>
      <c r="I549" s="2" t="str">
        <f t="shared" si="102"/>
        <v>4100401</v>
      </c>
      <c r="J549" s="2">
        <f>31400</f>
        <v>31400</v>
      </c>
      <c r="K549" s="2" t="str">
        <f t="shared" si="99"/>
        <v>脚</v>
      </c>
      <c r="L549" s="2" t="str">
        <f t="shared" si="103"/>
        <v>3630331</v>
      </c>
      <c r="M549" s="2" t="str">
        <f>""</f>
        <v/>
      </c>
    </row>
    <row r="550" spans="1:13" x14ac:dyDescent="0.15">
      <c r="A550" s="2" t="str">
        <f t="shared" si="97"/>
        <v>1881110500</v>
      </c>
      <c r="B550" s="2" t="str">
        <f t="shared" si="98"/>
        <v>佐伯・区政調整</v>
      </c>
      <c r="C550" s="2" t="str">
        <f t="shared" si="94"/>
        <v>01ｲ00311</v>
      </c>
      <c r="D550" s="2" t="str">
        <f t="shared" si="95"/>
        <v>肘掛椅子</v>
      </c>
      <c r="E550" s="3" t="str">
        <f t="shared" si="100"/>
        <v>肘付</v>
      </c>
      <c r="F550" s="2" t="str">
        <f t="shared" si="101"/>
        <v>０００１</v>
      </c>
      <c r="G550" s="2" t="str">
        <f>"3620003642"</f>
        <v>3620003642</v>
      </c>
      <c r="H550" s="2" t="str">
        <f t="shared" si="96"/>
        <v>001</v>
      </c>
      <c r="I550" s="2" t="str">
        <f t="shared" si="102"/>
        <v>4100401</v>
      </c>
      <c r="J550" s="2">
        <f>31400</f>
        <v>31400</v>
      </c>
      <c r="K550" s="2" t="str">
        <f t="shared" si="99"/>
        <v>脚</v>
      </c>
      <c r="L550" s="2" t="str">
        <f t="shared" si="103"/>
        <v>3630331</v>
      </c>
      <c r="M550" s="2" t="str">
        <f>""</f>
        <v/>
      </c>
    </row>
    <row r="551" spans="1:13" x14ac:dyDescent="0.15">
      <c r="A551" s="2" t="str">
        <f t="shared" si="97"/>
        <v>1881110500</v>
      </c>
      <c r="B551" s="2" t="str">
        <f t="shared" si="98"/>
        <v>佐伯・区政調整</v>
      </c>
      <c r="C551" s="2" t="str">
        <f t="shared" si="94"/>
        <v>01ｲ00311</v>
      </c>
      <c r="D551" s="2" t="str">
        <f t="shared" si="95"/>
        <v>肘掛椅子</v>
      </c>
      <c r="E551" s="3" t="str">
        <f t="shared" si="100"/>
        <v>肘付</v>
      </c>
      <c r="F551" s="2" t="str">
        <f t="shared" si="101"/>
        <v>０００１</v>
      </c>
      <c r="G551" s="2" t="str">
        <f>"3620003643"</f>
        <v>3620003643</v>
      </c>
      <c r="H551" s="2" t="str">
        <f t="shared" si="96"/>
        <v>001</v>
      </c>
      <c r="I551" s="2" t="str">
        <f t="shared" si="102"/>
        <v>4100401</v>
      </c>
      <c r="J551" s="2">
        <f>31400</f>
        <v>31400</v>
      </c>
      <c r="K551" s="2" t="str">
        <f t="shared" si="99"/>
        <v>脚</v>
      </c>
      <c r="L551" s="2" t="str">
        <f t="shared" si="103"/>
        <v>3630331</v>
      </c>
      <c r="M551" s="2" t="str">
        <f>""</f>
        <v/>
      </c>
    </row>
    <row r="552" spans="1:13" x14ac:dyDescent="0.15">
      <c r="A552" s="2" t="str">
        <f t="shared" si="97"/>
        <v>1881110500</v>
      </c>
      <c r="B552" s="2" t="str">
        <f t="shared" si="98"/>
        <v>佐伯・区政調整</v>
      </c>
      <c r="C552" s="2" t="str">
        <f t="shared" si="94"/>
        <v>01ｲ00311</v>
      </c>
      <c r="D552" s="2" t="str">
        <f t="shared" si="95"/>
        <v>肘掛椅子</v>
      </c>
      <c r="E552" s="3" t="str">
        <f t="shared" si="100"/>
        <v>肘付</v>
      </c>
      <c r="F552" s="2" t="str">
        <f t="shared" si="101"/>
        <v>０００１</v>
      </c>
      <c r="G552" s="2" t="str">
        <f>"3620003644"</f>
        <v>3620003644</v>
      </c>
      <c r="H552" s="2" t="str">
        <f t="shared" si="96"/>
        <v>001</v>
      </c>
      <c r="I552" s="2" t="str">
        <f t="shared" si="102"/>
        <v>4100401</v>
      </c>
      <c r="J552" s="2">
        <f>31400</f>
        <v>31400</v>
      </c>
      <c r="K552" s="2" t="str">
        <f t="shared" si="99"/>
        <v>脚</v>
      </c>
      <c r="L552" s="2" t="str">
        <f t="shared" si="103"/>
        <v>3630331</v>
      </c>
      <c r="M552" s="2" t="str">
        <f>""</f>
        <v/>
      </c>
    </row>
    <row r="553" spans="1:13" x14ac:dyDescent="0.15">
      <c r="A553" s="2" t="str">
        <f t="shared" si="97"/>
        <v>1881110500</v>
      </c>
      <c r="B553" s="2" t="str">
        <f t="shared" si="98"/>
        <v>佐伯・区政調整</v>
      </c>
      <c r="C553" s="2" t="str">
        <f t="shared" si="94"/>
        <v>01ｲ00311</v>
      </c>
      <c r="D553" s="2" t="str">
        <f t="shared" si="95"/>
        <v>肘掛椅子</v>
      </c>
      <c r="E553" s="3" t="str">
        <f t="shared" si="100"/>
        <v>肘付</v>
      </c>
      <c r="F553" s="2" t="str">
        <f t="shared" si="101"/>
        <v>０００１</v>
      </c>
      <c r="G553" s="2" t="str">
        <f>"3620003645"</f>
        <v>3620003645</v>
      </c>
      <c r="H553" s="2" t="str">
        <f t="shared" si="96"/>
        <v>001</v>
      </c>
      <c r="I553" s="2" t="str">
        <f t="shared" si="102"/>
        <v>4100401</v>
      </c>
      <c r="J553" s="2">
        <f>31400</f>
        <v>31400</v>
      </c>
      <c r="K553" s="2" t="str">
        <f t="shared" si="99"/>
        <v>脚</v>
      </c>
      <c r="L553" s="2" t="str">
        <f t="shared" si="103"/>
        <v>3630331</v>
      </c>
      <c r="M553" s="2" t="str">
        <f>""</f>
        <v/>
      </c>
    </row>
    <row r="554" spans="1:13" x14ac:dyDescent="0.15">
      <c r="A554" s="2" t="str">
        <f t="shared" si="97"/>
        <v>1881110500</v>
      </c>
      <c r="B554" s="2" t="str">
        <f t="shared" si="98"/>
        <v>佐伯・区政調整</v>
      </c>
      <c r="C554" s="2" t="str">
        <f t="shared" si="94"/>
        <v>01ｲ00311</v>
      </c>
      <c r="D554" s="2" t="str">
        <f t="shared" si="95"/>
        <v>肘掛椅子</v>
      </c>
      <c r="E554" s="3" t="str">
        <f t="shared" si="100"/>
        <v>肘付</v>
      </c>
      <c r="F554" s="2" t="str">
        <f t="shared" si="101"/>
        <v>０００１</v>
      </c>
      <c r="G554" s="2" t="str">
        <f>"3620003646"</f>
        <v>3620003646</v>
      </c>
      <c r="H554" s="2" t="str">
        <f t="shared" si="96"/>
        <v>001</v>
      </c>
      <c r="I554" s="2" t="str">
        <f t="shared" si="102"/>
        <v>4100401</v>
      </c>
      <c r="J554" s="2">
        <f>31400</f>
        <v>31400</v>
      </c>
      <c r="K554" s="2" t="str">
        <f t="shared" si="99"/>
        <v>脚</v>
      </c>
      <c r="L554" s="2" t="str">
        <f t="shared" si="103"/>
        <v>3630331</v>
      </c>
      <c r="M554" s="2" t="str">
        <f>""</f>
        <v/>
      </c>
    </row>
    <row r="555" spans="1:13" x14ac:dyDescent="0.15">
      <c r="A555" s="2" t="str">
        <f t="shared" si="97"/>
        <v>1881110500</v>
      </c>
      <c r="B555" s="2" t="str">
        <f t="shared" si="98"/>
        <v>佐伯・区政調整</v>
      </c>
      <c r="C555" s="2" t="str">
        <f t="shared" si="94"/>
        <v>01ｲ00311</v>
      </c>
      <c r="D555" s="2" t="str">
        <f t="shared" si="95"/>
        <v>肘掛椅子</v>
      </c>
      <c r="E555" s="3" t="str">
        <f t="shared" si="100"/>
        <v>肘付</v>
      </c>
      <c r="F555" s="2" t="str">
        <f t="shared" si="101"/>
        <v>０００１</v>
      </c>
      <c r="G555" s="2" t="str">
        <f>"3620003647"</f>
        <v>3620003647</v>
      </c>
      <c r="H555" s="2" t="str">
        <f t="shared" si="96"/>
        <v>001</v>
      </c>
      <c r="I555" s="2" t="str">
        <f t="shared" si="102"/>
        <v>4100401</v>
      </c>
      <c r="J555" s="2">
        <f>31400</f>
        <v>31400</v>
      </c>
      <c r="K555" s="2" t="str">
        <f t="shared" si="99"/>
        <v>脚</v>
      </c>
      <c r="L555" s="2" t="str">
        <f t="shared" si="103"/>
        <v>3630331</v>
      </c>
      <c r="M555" s="2" t="str">
        <f>""</f>
        <v/>
      </c>
    </row>
    <row r="556" spans="1:13" x14ac:dyDescent="0.15">
      <c r="A556" s="2" t="str">
        <f t="shared" si="97"/>
        <v>1881110500</v>
      </c>
      <c r="B556" s="2" t="str">
        <f t="shared" si="98"/>
        <v>佐伯・区政調整</v>
      </c>
      <c r="C556" s="2" t="str">
        <f t="shared" si="94"/>
        <v>01ｲ00311</v>
      </c>
      <c r="D556" s="2" t="str">
        <f t="shared" si="95"/>
        <v>肘掛椅子</v>
      </c>
      <c r="E556" s="3" t="str">
        <f t="shared" si="100"/>
        <v>肘付</v>
      </c>
      <c r="F556" s="2" t="str">
        <f t="shared" si="101"/>
        <v>０００１</v>
      </c>
      <c r="G556" s="2" t="str">
        <f>"3620003648"</f>
        <v>3620003648</v>
      </c>
      <c r="H556" s="2" t="str">
        <f t="shared" si="96"/>
        <v>001</v>
      </c>
      <c r="I556" s="2" t="str">
        <f t="shared" si="102"/>
        <v>4100401</v>
      </c>
      <c r="J556" s="2">
        <f>31400</f>
        <v>31400</v>
      </c>
      <c r="K556" s="2" t="str">
        <f t="shared" si="99"/>
        <v>脚</v>
      </c>
      <c r="L556" s="2" t="str">
        <f t="shared" si="103"/>
        <v>3630331</v>
      </c>
      <c r="M556" s="2" t="str">
        <f>""</f>
        <v/>
      </c>
    </row>
    <row r="557" spans="1:13" x14ac:dyDescent="0.15">
      <c r="A557" s="2" t="str">
        <f t="shared" si="97"/>
        <v>1881110500</v>
      </c>
      <c r="B557" s="2" t="str">
        <f t="shared" si="98"/>
        <v>佐伯・区政調整</v>
      </c>
      <c r="C557" s="2" t="str">
        <f t="shared" si="94"/>
        <v>01ｲ00311</v>
      </c>
      <c r="D557" s="2" t="str">
        <f t="shared" si="95"/>
        <v>肘掛椅子</v>
      </c>
      <c r="E557" s="3" t="str">
        <f t="shared" si="100"/>
        <v>肘付</v>
      </c>
      <c r="F557" s="2" t="str">
        <f t="shared" si="101"/>
        <v>０００１</v>
      </c>
      <c r="G557" s="2" t="str">
        <f>"3620003649"</f>
        <v>3620003649</v>
      </c>
      <c r="H557" s="2" t="str">
        <f t="shared" si="96"/>
        <v>001</v>
      </c>
      <c r="I557" s="2" t="str">
        <f t="shared" si="102"/>
        <v>4100401</v>
      </c>
      <c r="J557" s="2">
        <f>31400</f>
        <v>31400</v>
      </c>
      <c r="K557" s="2" t="str">
        <f t="shared" si="99"/>
        <v>脚</v>
      </c>
      <c r="L557" s="2" t="str">
        <f t="shared" si="103"/>
        <v>3630331</v>
      </c>
      <c r="M557" s="2" t="str">
        <f>""</f>
        <v/>
      </c>
    </row>
    <row r="558" spans="1:13" x14ac:dyDescent="0.15">
      <c r="A558" s="2" t="str">
        <f t="shared" si="97"/>
        <v>1881110500</v>
      </c>
      <c r="B558" s="2" t="str">
        <f t="shared" si="98"/>
        <v>佐伯・区政調整</v>
      </c>
      <c r="C558" s="2" t="str">
        <f t="shared" si="94"/>
        <v>01ｲ00311</v>
      </c>
      <c r="D558" s="2" t="str">
        <f t="shared" si="95"/>
        <v>肘掛椅子</v>
      </c>
      <c r="E558" s="3" t="str">
        <f t="shared" si="100"/>
        <v>肘付</v>
      </c>
      <c r="F558" s="2" t="str">
        <f t="shared" si="101"/>
        <v>０００１</v>
      </c>
      <c r="G558" s="2" t="str">
        <f>"3620003650"</f>
        <v>3620003650</v>
      </c>
      <c r="H558" s="2" t="str">
        <f t="shared" si="96"/>
        <v>001</v>
      </c>
      <c r="I558" s="2" t="str">
        <f t="shared" si="102"/>
        <v>4100401</v>
      </c>
      <c r="J558" s="2">
        <f>31400</f>
        <v>31400</v>
      </c>
      <c r="K558" s="2" t="str">
        <f t="shared" si="99"/>
        <v>脚</v>
      </c>
      <c r="L558" s="2" t="str">
        <f t="shared" si="103"/>
        <v>3630331</v>
      </c>
      <c r="M558" s="2" t="str">
        <f>""</f>
        <v/>
      </c>
    </row>
    <row r="559" spans="1:13" x14ac:dyDescent="0.15">
      <c r="A559" s="2" t="str">
        <f t="shared" si="97"/>
        <v>1881110500</v>
      </c>
      <c r="B559" s="2" t="str">
        <f t="shared" si="98"/>
        <v>佐伯・区政調整</v>
      </c>
      <c r="C559" s="2" t="str">
        <f t="shared" si="94"/>
        <v>01ｲ00311</v>
      </c>
      <c r="D559" s="2" t="str">
        <f t="shared" si="95"/>
        <v>肘掛椅子</v>
      </c>
      <c r="E559" s="3" t="str">
        <f t="shared" si="100"/>
        <v>肘付</v>
      </c>
      <c r="F559" s="2" t="str">
        <f t="shared" si="101"/>
        <v>０００１</v>
      </c>
      <c r="G559" s="2" t="str">
        <f>"3620003651"</f>
        <v>3620003651</v>
      </c>
      <c r="H559" s="2" t="str">
        <f t="shared" si="96"/>
        <v>001</v>
      </c>
      <c r="I559" s="2" t="str">
        <f t="shared" si="102"/>
        <v>4100401</v>
      </c>
      <c r="J559" s="2">
        <f>31400</f>
        <v>31400</v>
      </c>
      <c r="K559" s="2" t="str">
        <f t="shared" si="99"/>
        <v>脚</v>
      </c>
      <c r="L559" s="2" t="str">
        <f t="shared" si="103"/>
        <v>3630331</v>
      </c>
      <c r="M559" s="2" t="str">
        <f>""</f>
        <v/>
      </c>
    </row>
    <row r="560" spans="1:13" x14ac:dyDescent="0.15">
      <c r="A560" s="2" t="str">
        <f t="shared" si="97"/>
        <v>1881110500</v>
      </c>
      <c r="B560" s="2" t="str">
        <f t="shared" si="98"/>
        <v>佐伯・区政調整</v>
      </c>
      <c r="C560" s="2" t="str">
        <f t="shared" si="94"/>
        <v>01ｲ00311</v>
      </c>
      <c r="D560" s="2" t="str">
        <f t="shared" si="95"/>
        <v>肘掛椅子</v>
      </c>
      <c r="E560" s="3" t="str">
        <f t="shared" si="100"/>
        <v>肘付</v>
      </c>
      <c r="F560" s="2" t="str">
        <f t="shared" si="101"/>
        <v>０００１</v>
      </c>
      <c r="G560" s="2" t="str">
        <f>"3620003652"</f>
        <v>3620003652</v>
      </c>
      <c r="H560" s="2" t="str">
        <f t="shared" si="96"/>
        <v>001</v>
      </c>
      <c r="I560" s="2" t="str">
        <f t="shared" si="102"/>
        <v>4100401</v>
      </c>
      <c r="J560" s="2">
        <f>31400</f>
        <v>31400</v>
      </c>
      <c r="K560" s="2" t="str">
        <f t="shared" si="99"/>
        <v>脚</v>
      </c>
      <c r="L560" s="2" t="str">
        <f t="shared" si="103"/>
        <v>3630331</v>
      </c>
      <c r="M560" s="2" t="str">
        <f>""</f>
        <v/>
      </c>
    </row>
    <row r="561" spans="1:13" x14ac:dyDescent="0.15">
      <c r="A561" s="2" t="str">
        <f t="shared" si="97"/>
        <v>1881110500</v>
      </c>
      <c r="B561" s="2" t="str">
        <f t="shared" si="98"/>
        <v>佐伯・区政調整</v>
      </c>
      <c r="C561" s="2" t="str">
        <f t="shared" si="94"/>
        <v>01ｲ00311</v>
      </c>
      <c r="D561" s="2" t="str">
        <f t="shared" si="95"/>
        <v>肘掛椅子</v>
      </c>
      <c r="E561" s="3" t="str">
        <f t="shared" si="100"/>
        <v>肘付</v>
      </c>
      <c r="F561" s="2" t="str">
        <f t="shared" si="101"/>
        <v>０００１</v>
      </c>
      <c r="G561" s="2" t="str">
        <f>"3620003653"</f>
        <v>3620003653</v>
      </c>
      <c r="H561" s="2" t="str">
        <f t="shared" si="96"/>
        <v>001</v>
      </c>
      <c r="I561" s="2" t="str">
        <f t="shared" si="102"/>
        <v>4100401</v>
      </c>
      <c r="J561" s="2">
        <f>31400</f>
        <v>31400</v>
      </c>
      <c r="K561" s="2" t="str">
        <f t="shared" si="99"/>
        <v>脚</v>
      </c>
      <c r="L561" s="2" t="str">
        <f t="shared" si="103"/>
        <v>3630331</v>
      </c>
      <c r="M561" s="2" t="str">
        <f>""</f>
        <v/>
      </c>
    </row>
    <row r="562" spans="1:13" x14ac:dyDescent="0.15">
      <c r="A562" s="2" t="str">
        <f t="shared" si="97"/>
        <v>1881110500</v>
      </c>
      <c r="B562" s="2" t="str">
        <f t="shared" si="98"/>
        <v>佐伯・区政調整</v>
      </c>
      <c r="C562" s="2" t="str">
        <f t="shared" si="94"/>
        <v>01ｲ00311</v>
      </c>
      <c r="D562" s="2" t="str">
        <f t="shared" si="95"/>
        <v>肘掛椅子</v>
      </c>
      <c r="E562" s="3" t="str">
        <f t="shared" si="100"/>
        <v>肘付</v>
      </c>
      <c r="F562" s="2" t="str">
        <f t="shared" si="101"/>
        <v>０００１</v>
      </c>
      <c r="G562" s="2" t="str">
        <f>"3620003654"</f>
        <v>3620003654</v>
      </c>
      <c r="H562" s="2" t="str">
        <f t="shared" si="96"/>
        <v>001</v>
      </c>
      <c r="I562" s="2" t="str">
        <f t="shared" si="102"/>
        <v>4100401</v>
      </c>
      <c r="J562" s="2">
        <f>31400</f>
        <v>31400</v>
      </c>
      <c r="K562" s="2" t="str">
        <f t="shared" si="99"/>
        <v>脚</v>
      </c>
      <c r="L562" s="2" t="str">
        <f t="shared" si="103"/>
        <v>3630331</v>
      </c>
      <c r="M562" s="2" t="str">
        <f>""</f>
        <v/>
      </c>
    </row>
    <row r="563" spans="1:13" x14ac:dyDescent="0.15">
      <c r="A563" s="2" t="str">
        <f t="shared" si="97"/>
        <v>1881110500</v>
      </c>
      <c r="B563" s="2" t="str">
        <f t="shared" si="98"/>
        <v>佐伯・区政調整</v>
      </c>
      <c r="C563" s="2" t="str">
        <f t="shared" si="94"/>
        <v>01ｲ00311</v>
      </c>
      <c r="D563" s="2" t="str">
        <f t="shared" si="95"/>
        <v>肘掛椅子</v>
      </c>
      <c r="E563" s="3" t="str">
        <f t="shared" si="100"/>
        <v>肘付</v>
      </c>
      <c r="F563" s="2" t="str">
        <f t="shared" si="101"/>
        <v>０００１</v>
      </c>
      <c r="G563" s="2" t="str">
        <f>"3620003655"</f>
        <v>3620003655</v>
      </c>
      <c r="H563" s="2" t="str">
        <f t="shared" si="96"/>
        <v>001</v>
      </c>
      <c r="I563" s="2" t="str">
        <f t="shared" si="102"/>
        <v>4100401</v>
      </c>
      <c r="J563" s="2">
        <f>31400</f>
        <v>31400</v>
      </c>
      <c r="K563" s="2" t="str">
        <f t="shared" si="99"/>
        <v>脚</v>
      </c>
      <c r="L563" s="2" t="str">
        <f t="shared" si="103"/>
        <v>3630331</v>
      </c>
      <c r="M563" s="2" t="str">
        <f>""</f>
        <v/>
      </c>
    </row>
    <row r="564" spans="1:13" x14ac:dyDescent="0.15">
      <c r="A564" s="2" t="str">
        <f t="shared" si="97"/>
        <v>1881110500</v>
      </c>
      <c r="B564" s="2" t="str">
        <f t="shared" si="98"/>
        <v>佐伯・区政調整</v>
      </c>
      <c r="C564" s="2" t="str">
        <f t="shared" si="94"/>
        <v>01ｲ00311</v>
      </c>
      <c r="D564" s="2" t="str">
        <f t="shared" si="95"/>
        <v>肘掛椅子</v>
      </c>
      <c r="E564" s="3" t="str">
        <f t="shared" si="100"/>
        <v>肘付</v>
      </c>
      <c r="F564" s="2" t="str">
        <f t="shared" si="101"/>
        <v>０００１</v>
      </c>
      <c r="G564" s="2" t="str">
        <f>"3620003656"</f>
        <v>3620003656</v>
      </c>
      <c r="H564" s="2" t="str">
        <f t="shared" si="96"/>
        <v>001</v>
      </c>
      <c r="I564" s="2" t="str">
        <f t="shared" si="102"/>
        <v>4100401</v>
      </c>
      <c r="J564" s="2">
        <f>31400</f>
        <v>31400</v>
      </c>
      <c r="K564" s="2" t="str">
        <f t="shared" si="99"/>
        <v>脚</v>
      </c>
      <c r="L564" s="2" t="str">
        <f t="shared" si="103"/>
        <v>3630331</v>
      </c>
      <c r="M564" s="2" t="str">
        <f>""</f>
        <v/>
      </c>
    </row>
    <row r="565" spans="1:13" x14ac:dyDescent="0.15">
      <c r="A565" s="2" t="str">
        <f t="shared" si="97"/>
        <v>1881110500</v>
      </c>
      <c r="B565" s="2" t="str">
        <f t="shared" si="98"/>
        <v>佐伯・区政調整</v>
      </c>
      <c r="C565" s="2" t="str">
        <f t="shared" si="94"/>
        <v>01ｲ00311</v>
      </c>
      <c r="D565" s="2" t="str">
        <f t="shared" si="95"/>
        <v>肘掛椅子</v>
      </c>
      <c r="E565" s="3" t="str">
        <f t="shared" si="100"/>
        <v>肘付</v>
      </c>
      <c r="F565" s="2" t="str">
        <f t="shared" si="101"/>
        <v>０００１</v>
      </c>
      <c r="G565" s="2" t="str">
        <f>"3620003657"</f>
        <v>3620003657</v>
      </c>
      <c r="H565" s="2" t="str">
        <f t="shared" si="96"/>
        <v>001</v>
      </c>
      <c r="I565" s="2" t="str">
        <f t="shared" si="102"/>
        <v>4100401</v>
      </c>
      <c r="J565" s="2">
        <f>31400</f>
        <v>31400</v>
      </c>
      <c r="K565" s="2" t="str">
        <f t="shared" si="99"/>
        <v>脚</v>
      </c>
      <c r="L565" s="2" t="str">
        <f t="shared" si="103"/>
        <v>3630331</v>
      </c>
      <c r="M565" s="2" t="str">
        <f>""</f>
        <v/>
      </c>
    </row>
    <row r="566" spans="1:13" x14ac:dyDescent="0.15">
      <c r="A566" s="2" t="str">
        <f t="shared" si="97"/>
        <v>1881110500</v>
      </c>
      <c r="B566" s="2" t="str">
        <f t="shared" si="98"/>
        <v>佐伯・区政調整</v>
      </c>
      <c r="C566" s="2" t="str">
        <f t="shared" si="94"/>
        <v>01ｲ00311</v>
      </c>
      <c r="D566" s="2" t="str">
        <f t="shared" si="95"/>
        <v>肘掛椅子</v>
      </c>
      <c r="E566" s="3" t="str">
        <f t="shared" si="100"/>
        <v>肘付</v>
      </c>
      <c r="F566" s="2" t="str">
        <f t="shared" si="101"/>
        <v>０００１</v>
      </c>
      <c r="G566" s="2" t="str">
        <f>"3620003658"</f>
        <v>3620003658</v>
      </c>
      <c r="H566" s="2" t="str">
        <f t="shared" si="96"/>
        <v>001</v>
      </c>
      <c r="I566" s="2" t="str">
        <f t="shared" si="102"/>
        <v>4100401</v>
      </c>
      <c r="J566" s="2">
        <f>31400</f>
        <v>31400</v>
      </c>
      <c r="K566" s="2" t="str">
        <f t="shared" si="99"/>
        <v>脚</v>
      </c>
      <c r="L566" s="2" t="str">
        <f t="shared" si="103"/>
        <v>3630331</v>
      </c>
      <c r="M566" s="2" t="str">
        <f>""</f>
        <v/>
      </c>
    </row>
    <row r="567" spans="1:13" x14ac:dyDescent="0.15">
      <c r="A567" s="2" t="str">
        <f t="shared" si="97"/>
        <v>1881110500</v>
      </c>
      <c r="B567" s="2" t="str">
        <f t="shared" si="98"/>
        <v>佐伯・区政調整</v>
      </c>
      <c r="C567" s="2" t="str">
        <f t="shared" si="94"/>
        <v>01ｲ00311</v>
      </c>
      <c r="D567" s="2" t="str">
        <f t="shared" si="95"/>
        <v>肘掛椅子</v>
      </c>
      <c r="E567" s="3" t="str">
        <f t="shared" si="100"/>
        <v>肘付</v>
      </c>
      <c r="F567" s="2" t="str">
        <f t="shared" si="101"/>
        <v>０００１</v>
      </c>
      <c r="G567" s="2" t="str">
        <f>"3620003659"</f>
        <v>3620003659</v>
      </c>
      <c r="H567" s="2" t="str">
        <f t="shared" si="96"/>
        <v>001</v>
      </c>
      <c r="I567" s="2" t="str">
        <f t="shared" si="102"/>
        <v>4100401</v>
      </c>
      <c r="J567" s="2">
        <f>31400</f>
        <v>31400</v>
      </c>
      <c r="K567" s="2" t="str">
        <f t="shared" si="99"/>
        <v>脚</v>
      </c>
      <c r="L567" s="2" t="str">
        <f t="shared" si="103"/>
        <v>3630331</v>
      </c>
      <c r="M567" s="2" t="str">
        <f>""</f>
        <v/>
      </c>
    </row>
    <row r="568" spans="1:13" x14ac:dyDescent="0.15">
      <c r="A568" s="2" t="str">
        <f t="shared" si="97"/>
        <v>1881110500</v>
      </c>
      <c r="B568" s="2" t="str">
        <f t="shared" si="98"/>
        <v>佐伯・区政調整</v>
      </c>
      <c r="C568" s="2" t="str">
        <f t="shared" si="94"/>
        <v>01ｲ00311</v>
      </c>
      <c r="D568" s="2" t="str">
        <f t="shared" si="95"/>
        <v>肘掛椅子</v>
      </c>
      <c r="E568" s="3" t="str">
        <f t="shared" si="100"/>
        <v>肘付</v>
      </c>
      <c r="F568" s="2" t="str">
        <f t="shared" si="101"/>
        <v>０００１</v>
      </c>
      <c r="G568" s="2" t="str">
        <f>"3620003660"</f>
        <v>3620003660</v>
      </c>
      <c r="H568" s="2" t="str">
        <f t="shared" si="96"/>
        <v>001</v>
      </c>
      <c r="I568" s="2" t="str">
        <f t="shared" si="102"/>
        <v>4100401</v>
      </c>
      <c r="J568" s="2">
        <f>31400</f>
        <v>31400</v>
      </c>
      <c r="K568" s="2" t="str">
        <f t="shared" si="99"/>
        <v>脚</v>
      </c>
      <c r="L568" s="2" t="str">
        <f t="shared" si="103"/>
        <v>3630331</v>
      </c>
      <c r="M568" s="2" t="str">
        <f>""</f>
        <v/>
      </c>
    </row>
    <row r="569" spans="1:13" x14ac:dyDescent="0.15">
      <c r="A569" s="2" t="str">
        <f t="shared" si="97"/>
        <v>1881110500</v>
      </c>
      <c r="B569" s="2" t="str">
        <f t="shared" si="98"/>
        <v>佐伯・区政調整</v>
      </c>
      <c r="C569" s="2" t="str">
        <f t="shared" si="94"/>
        <v>01ｲ00311</v>
      </c>
      <c r="D569" s="2" t="str">
        <f t="shared" si="95"/>
        <v>肘掛椅子</v>
      </c>
      <c r="E569" s="3" t="str">
        <f t="shared" si="100"/>
        <v>肘付</v>
      </c>
      <c r="F569" s="2" t="str">
        <f t="shared" si="101"/>
        <v>０００１</v>
      </c>
      <c r="G569" s="2" t="str">
        <f>"3620003661"</f>
        <v>3620003661</v>
      </c>
      <c r="H569" s="2" t="str">
        <f t="shared" si="96"/>
        <v>001</v>
      </c>
      <c r="I569" s="2" t="str">
        <f t="shared" si="102"/>
        <v>4100401</v>
      </c>
      <c r="J569" s="2">
        <f>31400</f>
        <v>31400</v>
      </c>
      <c r="K569" s="2" t="str">
        <f t="shared" si="99"/>
        <v>脚</v>
      </c>
      <c r="L569" s="2" t="str">
        <f t="shared" si="103"/>
        <v>3630331</v>
      </c>
      <c r="M569" s="2" t="str">
        <f>""</f>
        <v/>
      </c>
    </row>
    <row r="570" spans="1:13" x14ac:dyDescent="0.15">
      <c r="A570" s="2" t="str">
        <f t="shared" si="97"/>
        <v>1881110500</v>
      </c>
      <c r="B570" s="2" t="str">
        <f t="shared" si="98"/>
        <v>佐伯・区政調整</v>
      </c>
      <c r="C570" s="2" t="str">
        <f t="shared" si="94"/>
        <v>01ｲ00311</v>
      </c>
      <c r="D570" s="2" t="str">
        <f t="shared" si="95"/>
        <v>肘掛椅子</v>
      </c>
      <c r="E570" s="3" t="str">
        <f t="shared" si="100"/>
        <v>肘付</v>
      </c>
      <c r="F570" s="2" t="str">
        <f t="shared" si="101"/>
        <v>０００１</v>
      </c>
      <c r="G570" s="2" t="str">
        <f>"3620003662"</f>
        <v>3620003662</v>
      </c>
      <c r="H570" s="2" t="str">
        <f t="shared" si="96"/>
        <v>001</v>
      </c>
      <c r="I570" s="2" t="str">
        <f t="shared" si="102"/>
        <v>4100401</v>
      </c>
      <c r="J570" s="2">
        <f>31400</f>
        <v>31400</v>
      </c>
      <c r="K570" s="2" t="str">
        <f t="shared" si="99"/>
        <v>脚</v>
      </c>
      <c r="L570" s="2" t="str">
        <f t="shared" si="103"/>
        <v>3630331</v>
      </c>
      <c r="M570" s="2" t="str">
        <f>""</f>
        <v/>
      </c>
    </row>
    <row r="571" spans="1:13" x14ac:dyDescent="0.15">
      <c r="A571" s="2" t="str">
        <f t="shared" si="97"/>
        <v>1881110500</v>
      </c>
      <c r="B571" s="2" t="str">
        <f t="shared" si="98"/>
        <v>佐伯・区政調整</v>
      </c>
      <c r="C571" s="2" t="str">
        <f t="shared" si="94"/>
        <v>01ｲ00311</v>
      </c>
      <c r="D571" s="2" t="str">
        <f t="shared" si="95"/>
        <v>肘掛椅子</v>
      </c>
      <c r="E571" s="3" t="str">
        <f t="shared" si="100"/>
        <v>肘付</v>
      </c>
      <c r="F571" s="2" t="str">
        <f t="shared" si="101"/>
        <v>０００１</v>
      </c>
      <c r="G571" s="2" t="str">
        <f>"3620003663"</f>
        <v>3620003663</v>
      </c>
      <c r="H571" s="2" t="str">
        <f t="shared" si="96"/>
        <v>001</v>
      </c>
      <c r="I571" s="2" t="str">
        <f t="shared" si="102"/>
        <v>4100401</v>
      </c>
      <c r="J571" s="2">
        <f>31400</f>
        <v>31400</v>
      </c>
      <c r="K571" s="2" t="str">
        <f t="shared" si="99"/>
        <v>脚</v>
      </c>
      <c r="L571" s="2" t="str">
        <f t="shared" si="103"/>
        <v>3630331</v>
      </c>
      <c r="M571" s="2" t="str">
        <f>""</f>
        <v/>
      </c>
    </row>
    <row r="572" spans="1:13" x14ac:dyDescent="0.15">
      <c r="A572" s="2" t="str">
        <f t="shared" si="97"/>
        <v>1881110500</v>
      </c>
      <c r="B572" s="2" t="str">
        <f t="shared" si="98"/>
        <v>佐伯・区政調整</v>
      </c>
      <c r="C572" s="2" t="str">
        <f t="shared" si="94"/>
        <v>01ｲ00311</v>
      </c>
      <c r="D572" s="2" t="str">
        <f t="shared" si="95"/>
        <v>肘掛椅子</v>
      </c>
      <c r="E572" s="3" t="str">
        <f t="shared" si="100"/>
        <v>肘付</v>
      </c>
      <c r="F572" s="2" t="str">
        <f t="shared" si="101"/>
        <v>０００１</v>
      </c>
      <c r="G572" s="2" t="str">
        <f>"3620003664"</f>
        <v>3620003664</v>
      </c>
      <c r="H572" s="2" t="str">
        <f t="shared" si="96"/>
        <v>001</v>
      </c>
      <c r="I572" s="2" t="str">
        <f t="shared" si="102"/>
        <v>4100401</v>
      </c>
      <c r="J572" s="2">
        <f>31400</f>
        <v>31400</v>
      </c>
      <c r="K572" s="2" t="str">
        <f t="shared" si="99"/>
        <v>脚</v>
      </c>
      <c r="L572" s="2" t="str">
        <f t="shared" si="103"/>
        <v>3630331</v>
      </c>
      <c r="M572" s="2" t="str">
        <f>""</f>
        <v/>
      </c>
    </row>
    <row r="573" spans="1:13" x14ac:dyDescent="0.15">
      <c r="A573" s="2" t="str">
        <f t="shared" si="97"/>
        <v>1881110500</v>
      </c>
      <c r="B573" s="2" t="str">
        <f t="shared" si="98"/>
        <v>佐伯・区政調整</v>
      </c>
      <c r="C573" s="2" t="str">
        <f t="shared" si="94"/>
        <v>01ｲ00311</v>
      </c>
      <c r="D573" s="2" t="str">
        <f t="shared" si="95"/>
        <v>肘掛椅子</v>
      </c>
      <c r="E573" s="3" t="str">
        <f t="shared" si="100"/>
        <v>肘付</v>
      </c>
      <c r="F573" s="2" t="str">
        <f t="shared" si="101"/>
        <v>０００１</v>
      </c>
      <c r="G573" s="2" t="str">
        <f>"3620003665"</f>
        <v>3620003665</v>
      </c>
      <c r="H573" s="2" t="str">
        <f t="shared" si="96"/>
        <v>001</v>
      </c>
      <c r="I573" s="2" t="str">
        <f t="shared" si="102"/>
        <v>4100401</v>
      </c>
      <c r="J573" s="2">
        <f>31400</f>
        <v>31400</v>
      </c>
      <c r="K573" s="2" t="str">
        <f t="shared" si="99"/>
        <v>脚</v>
      </c>
      <c r="L573" s="2" t="str">
        <f t="shared" si="103"/>
        <v>3630331</v>
      </c>
      <c r="M573" s="2" t="str">
        <f>""</f>
        <v/>
      </c>
    </row>
    <row r="574" spans="1:13" x14ac:dyDescent="0.15">
      <c r="A574" s="2" t="str">
        <f t="shared" si="97"/>
        <v>1881110500</v>
      </c>
      <c r="B574" s="2" t="str">
        <f t="shared" si="98"/>
        <v>佐伯・区政調整</v>
      </c>
      <c r="C574" s="2" t="str">
        <f t="shared" si="94"/>
        <v>01ｲ00311</v>
      </c>
      <c r="D574" s="2" t="str">
        <f t="shared" si="95"/>
        <v>肘掛椅子</v>
      </c>
      <c r="E574" s="3" t="str">
        <f t="shared" si="100"/>
        <v>肘付</v>
      </c>
      <c r="F574" s="2" t="str">
        <f t="shared" si="101"/>
        <v>０００１</v>
      </c>
      <c r="G574" s="2" t="str">
        <f>"3620003666"</f>
        <v>3620003666</v>
      </c>
      <c r="H574" s="2" t="str">
        <f t="shared" si="96"/>
        <v>001</v>
      </c>
      <c r="I574" s="2" t="str">
        <f t="shared" si="102"/>
        <v>4100401</v>
      </c>
      <c r="J574" s="2">
        <f>31400</f>
        <v>31400</v>
      </c>
      <c r="K574" s="2" t="str">
        <f t="shared" si="99"/>
        <v>脚</v>
      </c>
      <c r="L574" s="2" t="str">
        <f t="shared" si="103"/>
        <v>3630331</v>
      </c>
      <c r="M574" s="2" t="str">
        <f>""</f>
        <v/>
      </c>
    </row>
    <row r="575" spans="1:13" x14ac:dyDescent="0.15">
      <c r="A575" s="2" t="str">
        <f t="shared" si="97"/>
        <v>1881110500</v>
      </c>
      <c r="B575" s="2" t="str">
        <f t="shared" si="98"/>
        <v>佐伯・区政調整</v>
      </c>
      <c r="C575" s="2" t="str">
        <f t="shared" si="94"/>
        <v>01ｲ00311</v>
      </c>
      <c r="D575" s="2" t="str">
        <f t="shared" si="95"/>
        <v>肘掛椅子</v>
      </c>
      <c r="E575" s="3" t="str">
        <f t="shared" si="100"/>
        <v>肘付</v>
      </c>
      <c r="F575" s="2" t="str">
        <f t="shared" si="101"/>
        <v>０００１</v>
      </c>
      <c r="G575" s="2" t="str">
        <f>"3620003667"</f>
        <v>3620003667</v>
      </c>
      <c r="H575" s="2" t="str">
        <f t="shared" si="96"/>
        <v>001</v>
      </c>
      <c r="I575" s="2" t="str">
        <f t="shared" si="102"/>
        <v>4100401</v>
      </c>
      <c r="J575" s="2">
        <f>31400</f>
        <v>31400</v>
      </c>
      <c r="K575" s="2" t="str">
        <f t="shared" si="99"/>
        <v>脚</v>
      </c>
      <c r="L575" s="2" t="str">
        <f t="shared" si="103"/>
        <v>3630331</v>
      </c>
      <c r="M575" s="2" t="str">
        <f>""</f>
        <v/>
      </c>
    </row>
    <row r="576" spans="1:13" x14ac:dyDescent="0.15">
      <c r="A576" s="2" t="str">
        <f t="shared" si="97"/>
        <v>1881110500</v>
      </c>
      <c r="B576" s="2" t="str">
        <f t="shared" si="98"/>
        <v>佐伯・区政調整</v>
      </c>
      <c r="C576" s="2" t="str">
        <f t="shared" si="94"/>
        <v>01ｲ00311</v>
      </c>
      <c r="D576" s="2" t="str">
        <f t="shared" si="95"/>
        <v>肘掛椅子</v>
      </c>
      <c r="E576" s="3" t="str">
        <f t="shared" si="100"/>
        <v>肘付</v>
      </c>
      <c r="F576" s="2" t="str">
        <f t="shared" si="101"/>
        <v>０００１</v>
      </c>
      <c r="G576" s="2" t="str">
        <f>"3620003668"</f>
        <v>3620003668</v>
      </c>
      <c r="H576" s="2" t="str">
        <f t="shared" si="96"/>
        <v>001</v>
      </c>
      <c r="I576" s="2" t="str">
        <f t="shared" si="102"/>
        <v>4100401</v>
      </c>
      <c r="J576" s="2">
        <f>31400</f>
        <v>31400</v>
      </c>
      <c r="K576" s="2" t="str">
        <f t="shared" si="99"/>
        <v>脚</v>
      </c>
      <c r="L576" s="2" t="str">
        <f t="shared" si="103"/>
        <v>3630331</v>
      </c>
      <c r="M576" s="2" t="str">
        <f>""</f>
        <v/>
      </c>
    </row>
    <row r="577" spans="1:13" x14ac:dyDescent="0.15">
      <c r="A577" s="2" t="str">
        <f t="shared" si="97"/>
        <v>1881110500</v>
      </c>
      <c r="B577" s="2" t="str">
        <f t="shared" si="98"/>
        <v>佐伯・区政調整</v>
      </c>
      <c r="C577" s="2" t="str">
        <f t="shared" si="94"/>
        <v>01ｲ00311</v>
      </c>
      <c r="D577" s="2" t="str">
        <f t="shared" si="95"/>
        <v>肘掛椅子</v>
      </c>
      <c r="E577" s="3" t="str">
        <f t="shared" si="100"/>
        <v>肘付</v>
      </c>
      <c r="F577" s="2" t="str">
        <f t="shared" si="101"/>
        <v>０００１</v>
      </c>
      <c r="G577" s="2" t="str">
        <f>"3620003669"</f>
        <v>3620003669</v>
      </c>
      <c r="H577" s="2" t="str">
        <f t="shared" si="96"/>
        <v>001</v>
      </c>
      <c r="I577" s="2" t="str">
        <f t="shared" si="102"/>
        <v>4100401</v>
      </c>
      <c r="J577" s="2">
        <f>31400</f>
        <v>31400</v>
      </c>
      <c r="K577" s="2" t="str">
        <f t="shared" si="99"/>
        <v>脚</v>
      </c>
      <c r="L577" s="2" t="str">
        <f t="shared" si="103"/>
        <v>3630331</v>
      </c>
      <c r="M577" s="2" t="str">
        <f>""</f>
        <v/>
      </c>
    </row>
    <row r="578" spans="1:13" x14ac:dyDescent="0.15">
      <c r="A578" s="2" t="str">
        <f t="shared" si="97"/>
        <v>1881110500</v>
      </c>
      <c r="B578" s="2" t="str">
        <f t="shared" si="98"/>
        <v>佐伯・区政調整</v>
      </c>
      <c r="C578" s="2" t="str">
        <f t="shared" si="94"/>
        <v>01ｲ00311</v>
      </c>
      <c r="D578" s="2" t="str">
        <f t="shared" si="95"/>
        <v>肘掛椅子</v>
      </c>
      <c r="E578" s="3" t="str">
        <f t="shared" si="100"/>
        <v>肘付</v>
      </c>
      <c r="F578" s="2" t="str">
        <f t="shared" si="101"/>
        <v>０００１</v>
      </c>
      <c r="G578" s="2" t="str">
        <f>"3620003670"</f>
        <v>3620003670</v>
      </c>
      <c r="H578" s="2" t="str">
        <f t="shared" si="96"/>
        <v>001</v>
      </c>
      <c r="I578" s="2" t="str">
        <f t="shared" si="102"/>
        <v>4100401</v>
      </c>
      <c r="J578" s="2">
        <f>31400</f>
        <v>31400</v>
      </c>
      <c r="K578" s="2" t="str">
        <f t="shared" si="99"/>
        <v>脚</v>
      </c>
      <c r="L578" s="2" t="str">
        <f t="shared" si="103"/>
        <v>3630331</v>
      </c>
      <c r="M578" s="2" t="str">
        <f>""</f>
        <v/>
      </c>
    </row>
    <row r="579" spans="1:13" x14ac:dyDescent="0.15">
      <c r="A579" s="2" t="str">
        <f t="shared" si="97"/>
        <v>1881110500</v>
      </c>
      <c r="B579" s="2" t="str">
        <f t="shared" si="98"/>
        <v>佐伯・区政調整</v>
      </c>
      <c r="C579" s="2" t="str">
        <f t="shared" si="94"/>
        <v>01ｲ00311</v>
      </c>
      <c r="D579" s="2" t="str">
        <f t="shared" si="95"/>
        <v>肘掛椅子</v>
      </c>
      <c r="E579" s="3" t="str">
        <f t="shared" si="100"/>
        <v>肘付</v>
      </c>
      <c r="F579" s="2" t="str">
        <f t="shared" si="101"/>
        <v>０００１</v>
      </c>
      <c r="G579" s="2" t="str">
        <f>"3620003671"</f>
        <v>3620003671</v>
      </c>
      <c r="H579" s="2" t="str">
        <f t="shared" si="96"/>
        <v>001</v>
      </c>
      <c r="I579" s="2" t="str">
        <f t="shared" si="102"/>
        <v>4100401</v>
      </c>
      <c r="J579" s="2">
        <f>31400</f>
        <v>31400</v>
      </c>
      <c r="K579" s="2" t="str">
        <f t="shared" si="99"/>
        <v>脚</v>
      </c>
      <c r="L579" s="2" t="str">
        <f t="shared" si="103"/>
        <v>3630331</v>
      </c>
      <c r="M579" s="2" t="str">
        <f>""</f>
        <v/>
      </c>
    </row>
    <row r="580" spans="1:13" x14ac:dyDescent="0.15">
      <c r="A580" s="2" t="str">
        <f t="shared" si="97"/>
        <v>1881110500</v>
      </c>
      <c r="B580" s="2" t="str">
        <f t="shared" si="98"/>
        <v>佐伯・区政調整</v>
      </c>
      <c r="C580" s="2" t="str">
        <f t="shared" si="94"/>
        <v>01ｲ00311</v>
      </c>
      <c r="D580" s="2" t="str">
        <f t="shared" si="95"/>
        <v>肘掛椅子</v>
      </c>
      <c r="E580" s="3" t="str">
        <f t="shared" si="100"/>
        <v>肘付</v>
      </c>
      <c r="F580" s="2" t="str">
        <f t="shared" si="101"/>
        <v>０００１</v>
      </c>
      <c r="G580" s="2" t="str">
        <f>"3620003672"</f>
        <v>3620003672</v>
      </c>
      <c r="H580" s="2" t="str">
        <f t="shared" si="96"/>
        <v>001</v>
      </c>
      <c r="I580" s="2" t="str">
        <f t="shared" si="102"/>
        <v>4100401</v>
      </c>
      <c r="J580" s="2">
        <f>31400</f>
        <v>31400</v>
      </c>
      <c r="K580" s="2" t="str">
        <f t="shared" si="99"/>
        <v>脚</v>
      </c>
      <c r="L580" s="2" t="str">
        <f t="shared" si="103"/>
        <v>3630331</v>
      </c>
      <c r="M580" s="2" t="str">
        <f>""</f>
        <v/>
      </c>
    </row>
    <row r="581" spans="1:13" x14ac:dyDescent="0.15">
      <c r="A581" s="2" t="str">
        <f t="shared" si="97"/>
        <v>1881110500</v>
      </c>
      <c r="B581" s="2" t="str">
        <f t="shared" si="98"/>
        <v>佐伯・区政調整</v>
      </c>
      <c r="C581" s="2" t="str">
        <f t="shared" si="94"/>
        <v>01ｲ00311</v>
      </c>
      <c r="D581" s="2" t="str">
        <f t="shared" si="95"/>
        <v>肘掛椅子</v>
      </c>
      <c r="E581" s="3" t="str">
        <f t="shared" si="100"/>
        <v>肘付</v>
      </c>
      <c r="F581" s="2" t="str">
        <f t="shared" si="101"/>
        <v>０００１</v>
      </c>
      <c r="G581" s="2" t="str">
        <f>"3620003673"</f>
        <v>3620003673</v>
      </c>
      <c r="H581" s="2" t="str">
        <f t="shared" si="96"/>
        <v>001</v>
      </c>
      <c r="I581" s="2" t="str">
        <f t="shared" si="102"/>
        <v>4100401</v>
      </c>
      <c r="J581" s="2">
        <f>31400</f>
        <v>31400</v>
      </c>
      <c r="K581" s="2" t="str">
        <f t="shared" si="99"/>
        <v>脚</v>
      </c>
      <c r="L581" s="2" t="str">
        <f t="shared" si="103"/>
        <v>3630331</v>
      </c>
      <c r="M581" s="2" t="str">
        <f>""</f>
        <v/>
      </c>
    </row>
    <row r="582" spans="1:13" x14ac:dyDescent="0.15">
      <c r="A582" s="2" t="str">
        <f t="shared" si="97"/>
        <v>1881110500</v>
      </c>
      <c r="B582" s="2" t="str">
        <f t="shared" si="98"/>
        <v>佐伯・区政調整</v>
      </c>
      <c r="C582" s="2" t="str">
        <f t="shared" si="94"/>
        <v>01ｲ00311</v>
      </c>
      <c r="D582" s="2" t="str">
        <f t="shared" si="95"/>
        <v>肘掛椅子</v>
      </c>
      <c r="E582" s="3" t="str">
        <f t="shared" si="100"/>
        <v>肘付</v>
      </c>
      <c r="F582" s="2" t="str">
        <f t="shared" si="101"/>
        <v>０００１</v>
      </c>
      <c r="G582" s="2" t="str">
        <f>"3620003674"</f>
        <v>3620003674</v>
      </c>
      <c r="H582" s="2" t="str">
        <f t="shared" si="96"/>
        <v>001</v>
      </c>
      <c r="I582" s="2" t="str">
        <f t="shared" si="102"/>
        <v>4100401</v>
      </c>
      <c r="J582" s="2">
        <f>31400</f>
        <v>31400</v>
      </c>
      <c r="K582" s="2" t="str">
        <f t="shared" si="99"/>
        <v>脚</v>
      </c>
      <c r="L582" s="2" t="str">
        <f t="shared" si="103"/>
        <v>3630331</v>
      </c>
      <c r="M582" s="2" t="str">
        <f>""</f>
        <v/>
      </c>
    </row>
    <row r="583" spans="1:13" x14ac:dyDescent="0.15">
      <c r="A583" s="2" t="str">
        <f t="shared" si="97"/>
        <v>1881110500</v>
      </c>
      <c r="B583" s="2" t="str">
        <f t="shared" si="98"/>
        <v>佐伯・区政調整</v>
      </c>
      <c r="C583" s="2" t="str">
        <f t="shared" si="94"/>
        <v>01ｲ00311</v>
      </c>
      <c r="D583" s="2" t="str">
        <f t="shared" si="95"/>
        <v>肘掛椅子</v>
      </c>
      <c r="E583" s="3" t="str">
        <f t="shared" si="100"/>
        <v>肘付</v>
      </c>
      <c r="F583" s="2" t="str">
        <f t="shared" si="101"/>
        <v>０００１</v>
      </c>
      <c r="G583" s="2" t="str">
        <f>"3620003675"</f>
        <v>3620003675</v>
      </c>
      <c r="H583" s="2" t="str">
        <f t="shared" si="96"/>
        <v>001</v>
      </c>
      <c r="I583" s="2" t="str">
        <f t="shared" si="102"/>
        <v>4100401</v>
      </c>
      <c r="J583" s="2">
        <f>31400</f>
        <v>31400</v>
      </c>
      <c r="K583" s="2" t="str">
        <f t="shared" si="99"/>
        <v>脚</v>
      </c>
      <c r="L583" s="2" t="str">
        <f t="shared" si="103"/>
        <v>3630331</v>
      </c>
      <c r="M583" s="2" t="str">
        <f>""</f>
        <v/>
      </c>
    </row>
    <row r="584" spans="1:13" x14ac:dyDescent="0.15">
      <c r="A584" s="2" t="str">
        <f t="shared" si="97"/>
        <v>1881110500</v>
      </c>
      <c r="B584" s="2" t="str">
        <f t="shared" si="98"/>
        <v>佐伯・区政調整</v>
      </c>
      <c r="C584" s="2" t="str">
        <f t="shared" si="94"/>
        <v>01ｲ00311</v>
      </c>
      <c r="D584" s="2" t="str">
        <f t="shared" si="95"/>
        <v>肘掛椅子</v>
      </c>
      <c r="E584" s="3" t="str">
        <f t="shared" si="100"/>
        <v>肘付</v>
      </c>
      <c r="F584" s="2" t="str">
        <f t="shared" si="101"/>
        <v>０００１</v>
      </c>
      <c r="G584" s="2" t="str">
        <f>"3620003676"</f>
        <v>3620003676</v>
      </c>
      <c r="H584" s="2" t="str">
        <f t="shared" si="96"/>
        <v>001</v>
      </c>
      <c r="I584" s="2" t="str">
        <f t="shared" si="102"/>
        <v>4100401</v>
      </c>
      <c r="J584" s="2">
        <f>31400</f>
        <v>31400</v>
      </c>
      <c r="K584" s="2" t="str">
        <f t="shared" si="99"/>
        <v>脚</v>
      </c>
      <c r="L584" s="2" t="str">
        <f t="shared" si="103"/>
        <v>3630331</v>
      </c>
      <c r="M584" s="2" t="str">
        <f>""</f>
        <v/>
      </c>
    </row>
    <row r="585" spans="1:13" x14ac:dyDescent="0.15">
      <c r="A585" s="2" t="str">
        <f t="shared" si="97"/>
        <v>1881110500</v>
      </c>
      <c r="B585" s="2" t="str">
        <f t="shared" si="98"/>
        <v>佐伯・区政調整</v>
      </c>
      <c r="C585" s="2" t="str">
        <f t="shared" si="94"/>
        <v>01ｲ00311</v>
      </c>
      <c r="D585" s="2" t="str">
        <f t="shared" si="95"/>
        <v>肘掛椅子</v>
      </c>
      <c r="E585" s="3" t="str">
        <f t="shared" si="100"/>
        <v>肘付</v>
      </c>
      <c r="F585" s="2" t="str">
        <f t="shared" si="101"/>
        <v>０００１</v>
      </c>
      <c r="G585" s="2" t="str">
        <f>"3620003677"</f>
        <v>3620003677</v>
      </c>
      <c r="H585" s="2" t="str">
        <f t="shared" si="96"/>
        <v>001</v>
      </c>
      <c r="I585" s="2" t="str">
        <f t="shared" si="102"/>
        <v>4100401</v>
      </c>
      <c r="J585" s="2">
        <f>31400</f>
        <v>31400</v>
      </c>
      <c r="K585" s="2" t="str">
        <f t="shared" si="99"/>
        <v>脚</v>
      </c>
      <c r="L585" s="2" t="str">
        <f t="shared" si="103"/>
        <v>3630331</v>
      </c>
      <c r="M585" s="2" t="str">
        <f>""</f>
        <v/>
      </c>
    </row>
    <row r="586" spans="1:13" x14ac:dyDescent="0.15">
      <c r="A586" s="2" t="str">
        <f t="shared" si="97"/>
        <v>1881110500</v>
      </c>
      <c r="B586" s="2" t="str">
        <f t="shared" si="98"/>
        <v>佐伯・区政調整</v>
      </c>
      <c r="C586" s="2" t="str">
        <f t="shared" ref="C586:C649" si="104">"01ｲ00311"</f>
        <v>01ｲ00311</v>
      </c>
      <c r="D586" s="2" t="str">
        <f t="shared" ref="D586:D649" si="105">"肘掛椅子"</f>
        <v>肘掛椅子</v>
      </c>
      <c r="E586" s="3" t="str">
        <f t="shared" si="100"/>
        <v>肘付</v>
      </c>
      <c r="F586" s="2" t="str">
        <f t="shared" si="101"/>
        <v>０００１</v>
      </c>
      <c r="G586" s="2" t="str">
        <f>"3620003678"</f>
        <v>3620003678</v>
      </c>
      <c r="H586" s="2" t="str">
        <f t="shared" ref="H586:H649" si="106">"001"</f>
        <v>001</v>
      </c>
      <c r="I586" s="2" t="str">
        <f t="shared" si="102"/>
        <v>4100401</v>
      </c>
      <c r="J586" s="2">
        <f>31400</f>
        <v>31400</v>
      </c>
      <c r="K586" s="2" t="str">
        <f t="shared" si="99"/>
        <v>脚</v>
      </c>
      <c r="L586" s="2" t="str">
        <f t="shared" si="103"/>
        <v>3630331</v>
      </c>
      <c r="M586" s="2" t="str">
        <f>""</f>
        <v/>
      </c>
    </row>
    <row r="587" spans="1:13" x14ac:dyDescent="0.15">
      <c r="A587" s="2" t="str">
        <f t="shared" si="97"/>
        <v>1881110500</v>
      </c>
      <c r="B587" s="2" t="str">
        <f t="shared" si="98"/>
        <v>佐伯・区政調整</v>
      </c>
      <c r="C587" s="2" t="str">
        <f t="shared" si="104"/>
        <v>01ｲ00311</v>
      </c>
      <c r="D587" s="2" t="str">
        <f t="shared" si="105"/>
        <v>肘掛椅子</v>
      </c>
      <c r="E587" s="3" t="str">
        <f t="shared" si="100"/>
        <v>肘付</v>
      </c>
      <c r="F587" s="2" t="str">
        <f t="shared" si="101"/>
        <v>０００１</v>
      </c>
      <c r="G587" s="2" t="str">
        <f>"3620003679"</f>
        <v>3620003679</v>
      </c>
      <c r="H587" s="2" t="str">
        <f t="shared" si="106"/>
        <v>001</v>
      </c>
      <c r="I587" s="2" t="str">
        <f t="shared" si="102"/>
        <v>4100401</v>
      </c>
      <c r="J587" s="2">
        <f>31400</f>
        <v>31400</v>
      </c>
      <c r="K587" s="2" t="str">
        <f t="shared" si="99"/>
        <v>脚</v>
      </c>
      <c r="L587" s="2" t="str">
        <f t="shared" si="103"/>
        <v>3630331</v>
      </c>
      <c r="M587" s="2" t="str">
        <f>""</f>
        <v/>
      </c>
    </row>
    <row r="588" spans="1:13" x14ac:dyDescent="0.15">
      <c r="A588" s="2" t="str">
        <f t="shared" si="97"/>
        <v>1881110500</v>
      </c>
      <c r="B588" s="2" t="str">
        <f t="shared" si="98"/>
        <v>佐伯・区政調整</v>
      </c>
      <c r="C588" s="2" t="str">
        <f t="shared" si="104"/>
        <v>01ｲ00311</v>
      </c>
      <c r="D588" s="2" t="str">
        <f t="shared" si="105"/>
        <v>肘掛椅子</v>
      </c>
      <c r="E588" s="3" t="str">
        <f t="shared" si="100"/>
        <v>肘付</v>
      </c>
      <c r="F588" s="2" t="str">
        <f t="shared" si="101"/>
        <v>０００１</v>
      </c>
      <c r="G588" s="2" t="str">
        <f>"3620003680"</f>
        <v>3620003680</v>
      </c>
      <c r="H588" s="2" t="str">
        <f t="shared" si="106"/>
        <v>001</v>
      </c>
      <c r="I588" s="2" t="str">
        <f t="shared" si="102"/>
        <v>4100401</v>
      </c>
      <c r="J588" s="2">
        <f>31400</f>
        <v>31400</v>
      </c>
      <c r="K588" s="2" t="str">
        <f t="shared" si="99"/>
        <v>脚</v>
      </c>
      <c r="L588" s="2" t="str">
        <f t="shared" si="103"/>
        <v>3630331</v>
      </c>
      <c r="M588" s="2" t="str">
        <f>""</f>
        <v/>
      </c>
    </row>
    <row r="589" spans="1:13" x14ac:dyDescent="0.15">
      <c r="A589" s="2" t="str">
        <f t="shared" si="97"/>
        <v>1881110500</v>
      </c>
      <c r="B589" s="2" t="str">
        <f t="shared" si="98"/>
        <v>佐伯・区政調整</v>
      </c>
      <c r="C589" s="2" t="str">
        <f t="shared" si="104"/>
        <v>01ｲ00311</v>
      </c>
      <c r="D589" s="2" t="str">
        <f t="shared" si="105"/>
        <v>肘掛椅子</v>
      </c>
      <c r="E589" s="3" t="str">
        <f t="shared" si="100"/>
        <v>肘付</v>
      </c>
      <c r="F589" s="2" t="str">
        <f t="shared" si="101"/>
        <v>０００１</v>
      </c>
      <c r="G589" s="2" t="str">
        <f>"3620003681"</f>
        <v>3620003681</v>
      </c>
      <c r="H589" s="2" t="str">
        <f t="shared" si="106"/>
        <v>001</v>
      </c>
      <c r="I589" s="2" t="str">
        <f t="shared" si="102"/>
        <v>4100401</v>
      </c>
      <c r="J589" s="2">
        <f>31400</f>
        <v>31400</v>
      </c>
      <c r="K589" s="2" t="str">
        <f t="shared" si="99"/>
        <v>脚</v>
      </c>
      <c r="L589" s="2" t="str">
        <f t="shared" si="103"/>
        <v>3630331</v>
      </c>
      <c r="M589" s="2" t="str">
        <f>""</f>
        <v/>
      </c>
    </row>
    <row r="590" spans="1:13" x14ac:dyDescent="0.15">
      <c r="A590" s="2" t="str">
        <f t="shared" si="97"/>
        <v>1881110500</v>
      </c>
      <c r="B590" s="2" t="str">
        <f t="shared" si="98"/>
        <v>佐伯・区政調整</v>
      </c>
      <c r="C590" s="2" t="str">
        <f t="shared" si="104"/>
        <v>01ｲ00311</v>
      </c>
      <c r="D590" s="2" t="str">
        <f t="shared" si="105"/>
        <v>肘掛椅子</v>
      </c>
      <c r="E590" s="3" t="str">
        <f t="shared" si="100"/>
        <v>肘付</v>
      </c>
      <c r="F590" s="2" t="str">
        <f t="shared" si="101"/>
        <v>０００１</v>
      </c>
      <c r="G590" s="2" t="str">
        <f>"3620003682"</f>
        <v>3620003682</v>
      </c>
      <c r="H590" s="2" t="str">
        <f t="shared" si="106"/>
        <v>001</v>
      </c>
      <c r="I590" s="2" t="str">
        <f t="shared" si="102"/>
        <v>4100401</v>
      </c>
      <c r="J590" s="2">
        <f>31400</f>
        <v>31400</v>
      </c>
      <c r="K590" s="2" t="str">
        <f t="shared" si="99"/>
        <v>脚</v>
      </c>
      <c r="L590" s="2" t="str">
        <f t="shared" si="103"/>
        <v>3630331</v>
      </c>
      <c r="M590" s="2" t="str">
        <f>""</f>
        <v/>
      </c>
    </row>
    <row r="591" spans="1:13" x14ac:dyDescent="0.15">
      <c r="A591" s="2" t="str">
        <f t="shared" si="97"/>
        <v>1881110500</v>
      </c>
      <c r="B591" s="2" t="str">
        <f t="shared" si="98"/>
        <v>佐伯・区政調整</v>
      </c>
      <c r="C591" s="2" t="str">
        <f t="shared" si="104"/>
        <v>01ｲ00311</v>
      </c>
      <c r="D591" s="2" t="str">
        <f t="shared" si="105"/>
        <v>肘掛椅子</v>
      </c>
      <c r="E591" s="3" t="str">
        <f t="shared" si="100"/>
        <v>肘付</v>
      </c>
      <c r="F591" s="2" t="str">
        <f t="shared" si="101"/>
        <v>０００１</v>
      </c>
      <c r="G591" s="2" t="str">
        <f>"3620003683"</f>
        <v>3620003683</v>
      </c>
      <c r="H591" s="2" t="str">
        <f t="shared" si="106"/>
        <v>001</v>
      </c>
      <c r="I591" s="2" t="str">
        <f t="shared" si="102"/>
        <v>4100401</v>
      </c>
      <c r="J591" s="2">
        <f>31400</f>
        <v>31400</v>
      </c>
      <c r="K591" s="2" t="str">
        <f t="shared" si="99"/>
        <v>脚</v>
      </c>
      <c r="L591" s="2" t="str">
        <f t="shared" si="103"/>
        <v>3630331</v>
      </c>
      <c r="M591" s="2" t="str">
        <f>""</f>
        <v/>
      </c>
    </row>
    <row r="592" spans="1:13" x14ac:dyDescent="0.15">
      <c r="A592" s="2" t="str">
        <f t="shared" si="97"/>
        <v>1881110500</v>
      </c>
      <c r="B592" s="2" t="str">
        <f t="shared" si="98"/>
        <v>佐伯・区政調整</v>
      </c>
      <c r="C592" s="2" t="str">
        <f t="shared" si="104"/>
        <v>01ｲ00311</v>
      </c>
      <c r="D592" s="2" t="str">
        <f t="shared" si="105"/>
        <v>肘掛椅子</v>
      </c>
      <c r="E592" s="3" t="str">
        <f t="shared" si="100"/>
        <v>肘付</v>
      </c>
      <c r="F592" s="2" t="str">
        <f t="shared" si="101"/>
        <v>０００１</v>
      </c>
      <c r="G592" s="2" t="str">
        <f>"3620003684"</f>
        <v>3620003684</v>
      </c>
      <c r="H592" s="2" t="str">
        <f t="shared" si="106"/>
        <v>001</v>
      </c>
      <c r="I592" s="2" t="str">
        <f t="shared" si="102"/>
        <v>4100401</v>
      </c>
      <c r="J592" s="2">
        <f>31400</f>
        <v>31400</v>
      </c>
      <c r="K592" s="2" t="str">
        <f t="shared" si="99"/>
        <v>脚</v>
      </c>
      <c r="L592" s="2" t="str">
        <f t="shared" si="103"/>
        <v>3630331</v>
      </c>
      <c r="M592" s="2" t="str">
        <f>""</f>
        <v/>
      </c>
    </row>
    <row r="593" spans="1:13" x14ac:dyDescent="0.15">
      <c r="A593" s="2" t="str">
        <f t="shared" si="97"/>
        <v>1881110500</v>
      </c>
      <c r="B593" s="2" t="str">
        <f t="shared" si="98"/>
        <v>佐伯・区政調整</v>
      </c>
      <c r="C593" s="2" t="str">
        <f t="shared" si="104"/>
        <v>01ｲ00311</v>
      </c>
      <c r="D593" s="2" t="str">
        <f t="shared" si="105"/>
        <v>肘掛椅子</v>
      </c>
      <c r="E593" s="3" t="str">
        <f t="shared" si="100"/>
        <v>肘付</v>
      </c>
      <c r="F593" s="2" t="str">
        <f t="shared" si="101"/>
        <v>０００１</v>
      </c>
      <c r="G593" s="2" t="str">
        <f>"3620003685"</f>
        <v>3620003685</v>
      </c>
      <c r="H593" s="2" t="str">
        <f t="shared" si="106"/>
        <v>001</v>
      </c>
      <c r="I593" s="2" t="str">
        <f t="shared" si="102"/>
        <v>4100401</v>
      </c>
      <c r="J593" s="2">
        <f>31400</f>
        <v>31400</v>
      </c>
      <c r="K593" s="2" t="str">
        <f t="shared" si="99"/>
        <v>脚</v>
      </c>
      <c r="L593" s="2" t="str">
        <f t="shared" si="103"/>
        <v>3630331</v>
      </c>
      <c r="M593" s="2" t="str">
        <f>""</f>
        <v/>
      </c>
    </row>
    <row r="594" spans="1:13" x14ac:dyDescent="0.15">
      <c r="A594" s="2" t="str">
        <f t="shared" si="97"/>
        <v>1881110500</v>
      </c>
      <c r="B594" s="2" t="str">
        <f t="shared" si="98"/>
        <v>佐伯・区政調整</v>
      </c>
      <c r="C594" s="2" t="str">
        <f t="shared" si="104"/>
        <v>01ｲ00311</v>
      </c>
      <c r="D594" s="2" t="str">
        <f t="shared" si="105"/>
        <v>肘掛椅子</v>
      </c>
      <c r="E594" s="3" t="str">
        <f t="shared" si="100"/>
        <v>肘付</v>
      </c>
      <c r="F594" s="2" t="str">
        <f t="shared" si="101"/>
        <v>０００１</v>
      </c>
      <c r="G594" s="2" t="str">
        <f>"3620003686"</f>
        <v>3620003686</v>
      </c>
      <c r="H594" s="2" t="str">
        <f t="shared" si="106"/>
        <v>001</v>
      </c>
      <c r="I594" s="2" t="str">
        <f t="shared" si="102"/>
        <v>4100401</v>
      </c>
      <c r="J594" s="2">
        <f>31400</f>
        <v>31400</v>
      </c>
      <c r="K594" s="2" t="str">
        <f t="shared" si="99"/>
        <v>脚</v>
      </c>
      <c r="L594" s="2" t="str">
        <f t="shared" si="103"/>
        <v>3630331</v>
      </c>
      <c r="M594" s="2" t="str">
        <f>""</f>
        <v/>
      </c>
    </row>
    <row r="595" spans="1:13" x14ac:dyDescent="0.15">
      <c r="A595" s="2" t="str">
        <f t="shared" si="97"/>
        <v>1881110500</v>
      </c>
      <c r="B595" s="2" t="str">
        <f t="shared" si="98"/>
        <v>佐伯・区政調整</v>
      </c>
      <c r="C595" s="2" t="str">
        <f t="shared" si="104"/>
        <v>01ｲ00311</v>
      </c>
      <c r="D595" s="2" t="str">
        <f t="shared" si="105"/>
        <v>肘掛椅子</v>
      </c>
      <c r="E595" s="3" t="str">
        <f t="shared" si="100"/>
        <v>肘付</v>
      </c>
      <c r="F595" s="2" t="str">
        <f t="shared" si="101"/>
        <v>０００１</v>
      </c>
      <c r="G595" s="2" t="str">
        <f>"3620003687"</f>
        <v>3620003687</v>
      </c>
      <c r="H595" s="2" t="str">
        <f t="shared" si="106"/>
        <v>001</v>
      </c>
      <c r="I595" s="2" t="str">
        <f t="shared" si="102"/>
        <v>4100401</v>
      </c>
      <c r="J595" s="2">
        <f>31400</f>
        <v>31400</v>
      </c>
      <c r="K595" s="2" t="str">
        <f t="shared" si="99"/>
        <v>脚</v>
      </c>
      <c r="L595" s="2" t="str">
        <f t="shared" si="103"/>
        <v>3630331</v>
      </c>
      <c r="M595" s="2" t="str">
        <f>""</f>
        <v/>
      </c>
    </row>
    <row r="596" spans="1:13" x14ac:dyDescent="0.15">
      <c r="A596" s="2" t="str">
        <f t="shared" si="97"/>
        <v>1881110500</v>
      </c>
      <c r="B596" s="2" t="str">
        <f t="shared" si="98"/>
        <v>佐伯・区政調整</v>
      </c>
      <c r="C596" s="2" t="str">
        <f t="shared" si="104"/>
        <v>01ｲ00311</v>
      </c>
      <c r="D596" s="2" t="str">
        <f t="shared" si="105"/>
        <v>肘掛椅子</v>
      </c>
      <c r="E596" s="3" t="str">
        <f t="shared" si="100"/>
        <v>肘付</v>
      </c>
      <c r="F596" s="2" t="str">
        <f t="shared" si="101"/>
        <v>０００１</v>
      </c>
      <c r="G596" s="2" t="str">
        <f>"3620003688"</f>
        <v>3620003688</v>
      </c>
      <c r="H596" s="2" t="str">
        <f t="shared" si="106"/>
        <v>001</v>
      </c>
      <c r="I596" s="2" t="str">
        <f t="shared" si="102"/>
        <v>4100401</v>
      </c>
      <c r="J596" s="2">
        <f>31400</f>
        <v>31400</v>
      </c>
      <c r="K596" s="2" t="str">
        <f t="shared" si="99"/>
        <v>脚</v>
      </c>
      <c r="L596" s="2" t="str">
        <f t="shared" si="103"/>
        <v>3630331</v>
      </c>
      <c r="M596" s="2" t="str">
        <f>""</f>
        <v/>
      </c>
    </row>
    <row r="597" spans="1:13" x14ac:dyDescent="0.15">
      <c r="A597" s="2" t="str">
        <f t="shared" si="97"/>
        <v>1881110500</v>
      </c>
      <c r="B597" s="2" t="str">
        <f t="shared" si="98"/>
        <v>佐伯・区政調整</v>
      </c>
      <c r="C597" s="2" t="str">
        <f t="shared" si="104"/>
        <v>01ｲ00311</v>
      </c>
      <c r="D597" s="2" t="str">
        <f t="shared" si="105"/>
        <v>肘掛椅子</v>
      </c>
      <c r="E597" s="3" t="str">
        <f t="shared" si="100"/>
        <v>肘付</v>
      </c>
      <c r="F597" s="2" t="str">
        <f t="shared" si="101"/>
        <v>０００１</v>
      </c>
      <c r="G597" s="2" t="str">
        <f>"3620003689"</f>
        <v>3620003689</v>
      </c>
      <c r="H597" s="2" t="str">
        <f t="shared" si="106"/>
        <v>001</v>
      </c>
      <c r="I597" s="2" t="str">
        <f t="shared" si="102"/>
        <v>4100401</v>
      </c>
      <c r="J597" s="2">
        <f>31400</f>
        <v>31400</v>
      </c>
      <c r="K597" s="2" t="str">
        <f t="shared" si="99"/>
        <v>脚</v>
      </c>
      <c r="L597" s="2" t="str">
        <f t="shared" si="103"/>
        <v>3630331</v>
      </c>
      <c r="M597" s="2" t="str">
        <f>""</f>
        <v/>
      </c>
    </row>
    <row r="598" spans="1:13" x14ac:dyDescent="0.15">
      <c r="A598" s="2" t="str">
        <f t="shared" si="97"/>
        <v>1881110500</v>
      </c>
      <c r="B598" s="2" t="str">
        <f t="shared" si="98"/>
        <v>佐伯・区政調整</v>
      </c>
      <c r="C598" s="2" t="str">
        <f t="shared" si="104"/>
        <v>01ｲ00311</v>
      </c>
      <c r="D598" s="2" t="str">
        <f t="shared" si="105"/>
        <v>肘掛椅子</v>
      </c>
      <c r="E598" s="3" t="str">
        <f t="shared" si="100"/>
        <v>肘付</v>
      </c>
      <c r="F598" s="2" t="str">
        <f t="shared" si="101"/>
        <v>０００１</v>
      </c>
      <c r="G598" s="2" t="str">
        <f>"3620003690"</f>
        <v>3620003690</v>
      </c>
      <c r="H598" s="2" t="str">
        <f t="shared" si="106"/>
        <v>001</v>
      </c>
      <c r="I598" s="2" t="str">
        <f t="shared" si="102"/>
        <v>4100401</v>
      </c>
      <c r="J598" s="2">
        <f>31400</f>
        <v>31400</v>
      </c>
      <c r="K598" s="2" t="str">
        <f t="shared" si="99"/>
        <v>脚</v>
      </c>
      <c r="L598" s="2" t="str">
        <f t="shared" si="103"/>
        <v>3630331</v>
      </c>
      <c r="M598" s="2" t="str">
        <f>""</f>
        <v/>
      </c>
    </row>
    <row r="599" spans="1:13" x14ac:dyDescent="0.15">
      <c r="A599" s="2" t="str">
        <f t="shared" si="97"/>
        <v>1881110500</v>
      </c>
      <c r="B599" s="2" t="str">
        <f t="shared" si="98"/>
        <v>佐伯・区政調整</v>
      </c>
      <c r="C599" s="2" t="str">
        <f t="shared" si="104"/>
        <v>01ｲ00311</v>
      </c>
      <c r="D599" s="2" t="str">
        <f t="shared" si="105"/>
        <v>肘掛椅子</v>
      </c>
      <c r="E599" s="3" t="str">
        <f t="shared" si="100"/>
        <v>肘付</v>
      </c>
      <c r="F599" s="2" t="str">
        <f t="shared" si="101"/>
        <v>０００１</v>
      </c>
      <c r="G599" s="2" t="str">
        <f>"3620003691"</f>
        <v>3620003691</v>
      </c>
      <c r="H599" s="2" t="str">
        <f t="shared" si="106"/>
        <v>001</v>
      </c>
      <c r="I599" s="2" t="str">
        <f t="shared" si="102"/>
        <v>4100401</v>
      </c>
      <c r="J599" s="2">
        <f>31400</f>
        <v>31400</v>
      </c>
      <c r="K599" s="2" t="str">
        <f t="shared" si="99"/>
        <v>脚</v>
      </c>
      <c r="L599" s="2" t="str">
        <f t="shared" si="103"/>
        <v>3630331</v>
      </c>
      <c r="M599" s="2" t="str">
        <f>""</f>
        <v/>
      </c>
    </row>
    <row r="600" spans="1:13" x14ac:dyDescent="0.15">
      <c r="A600" s="2" t="str">
        <f t="shared" si="97"/>
        <v>1881110500</v>
      </c>
      <c r="B600" s="2" t="str">
        <f t="shared" si="98"/>
        <v>佐伯・区政調整</v>
      </c>
      <c r="C600" s="2" t="str">
        <f t="shared" si="104"/>
        <v>01ｲ00311</v>
      </c>
      <c r="D600" s="2" t="str">
        <f t="shared" si="105"/>
        <v>肘掛椅子</v>
      </c>
      <c r="E600" s="3" t="str">
        <f t="shared" si="100"/>
        <v>肘付</v>
      </c>
      <c r="F600" s="2" t="str">
        <f t="shared" si="101"/>
        <v>０００１</v>
      </c>
      <c r="G600" s="2" t="str">
        <f>"3620003692"</f>
        <v>3620003692</v>
      </c>
      <c r="H600" s="2" t="str">
        <f t="shared" si="106"/>
        <v>001</v>
      </c>
      <c r="I600" s="2" t="str">
        <f t="shared" si="102"/>
        <v>4100401</v>
      </c>
      <c r="J600" s="2">
        <f>31400</f>
        <v>31400</v>
      </c>
      <c r="K600" s="2" t="str">
        <f t="shared" si="99"/>
        <v>脚</v>
      </c>
      <c r="L600" s="2" t="str">
        <f t="shared" si="103"/>
        <v>3630331</v>
      </c>
      <c r="M600" s="2" t="str">
        <f>""</f>
        <v/>
      </c>
    </row>
    <row r="601" spans="1:13" x14ac:dyDescent="0.15">
      <c r="A601" s="2" t="str">
        <f t="shared" si="97"/>
        <v>1881110500</v>
      </c>
      <c r="B601" s="2" t="str">
        <f t="shared" si="98"/>
        <v>佐伯・区政調整</v>
      </c>
      <c r="C601" s="2" t="str">
        <f t="shared" si="104"/>
        <v>01ｲ00311</v>
      </c>
      <c r="D601" s="2" t="str">
        <f t="shared" si="105"/>
        <v>肘掛椅子</v>
      </c>
      <c r="E601" s="3" t="str">
        <f t="shared" si="100"/>
        <v>肘付</v>
      </c>
      <c r="F601" s="2" t="str">
        <f t="shared" si="101"/>
        <v>０００１</v>
      </c>
      <c r="G601" s="2" t="str">
        <f>"3620003693"</f>
        <v>3620003693</v>
      </c>
      <c r="H601" s="2" t="str">
        <f t="shared" si="106"/>
        <v>001</v>
      </c>
      <c r="I601" s="2" t="str">
        <f t="shared" si="102"/>
        <v>4100401</v>
      </c>
      <c r="J601" s="2">
        <f>31400</f>
        <v>31400</v>
      </c>
      <c r="K601" s="2" t="str">
        <f t="shared" si="99"/>
        <v>脚</v>
      </c>
      <c r="L601" s="2" t="str">
        <f t="shared" si="103"/>
        <v>3630331</v>
      </c>
      <c r="M601" s="2" t="str">
        <f>""</f>
        <v/>
      </c>
    </row>
    <row r="602" spans="1:13" x14ac:dyDescent="0.15">
      <c r="A602" s="2" t="str">
        <f t="shared" ref="A602:A665" si="107">"1881110500"</f>
        <v>1881110500</v>
      </c>
      <c r="B602" s="2" t="str">
        <f t="shared" ref="B602:B665" si="108">"佐伯・区政調整"</f>
        <v>佐伯・区政調整</v>
      </c>
      <c r="C602" s="2" t="str">
        <f t="shared" si="104"/>
        <v>01ｲ00311</v>
      </c>
      <c r="D602" s="2" t="str">
        <f t="shared" si="105"/>
        <v>肘掛椅子</v>
      </c>
      <c r="E602" s="3" t="str">
        <f t="shared" si="100"/>
        <v>肘付</v>
      </c>
      <c r="F602" s="2" t="str">
        <f t="shared" si="101"/>
        <v>０００１</v>
      </c>
      <c r="G602" s="2" t="str">
        <f>"3620003694"</f>
        <v>3620003694</v>
      </c>
      <c r="H602" s="2" t="str">
        <f t="shared" si="106"/>
        <v>001</v>
      </c>
      <c r="I602" s="2" t="str">
        <f t="shared" si="102"/>
        <v>4100401</v>
      </c>
      <c r="J602" s="2">
        <f>31400</f>
        <v>31400</v>
      </c>
      <c r="K602" s="2" t="str">
        <f t="shared" ref="K602:K665" si="109">"脚"</f>
        <v>脚</v>
      </c>
      <c r="L602" s="2" t="str">
        <f t="shared" si="103"/>
        <v>3630331</v>
      </c>
      <c r="M602" s="2" t="str">
        <f>""</f>
        <v/>
      </c>
    </row>
    <row r="603" spans="1:13" x14ac:dyDescent="0.15">
      <c r="A603" s="2" t="str">
        <f t="shared" si="107"/>
        <v>1881110500</v>
      </c>
      <c r="B603" s="2" t="str">
        <f t="shared" si="108"/>
        <v>佐伯・区政調整</v>
      </c>
      <c r="C603" s="2" t="str">
        <f t="shared" si="104"/>
        <v>01ｲ00311</v>
      </c>
      <c r="D603" s="2" t="str">
        <f t="shared" si="105"/>
        <v>肘掛椅子</v>
      </c>
      <c r="E603" s="3" t="str">
        <f t="shared" si="100"/>
        <v>肘付</v>
      </c>
      <c r="F603" s="2" t="str">
        <f t="shared" si="101"/>
        <v>０００１</v>
      </c>
      <c r="G603" s="2" t="str">
        <f>"3620003695"</f>
        <v>3620003695</v>
      </c>
      <c r="H603" s="2" t="str">
        <f t="shared" si="106"/>
        <v>001</v>
      </c>
      <c r="I603" s="2" t="str">
        <f t="shared" si="102"/>
        <v>4100401</v>
      </c>
      <c r="J603" s="2">
        <f>31400</f>
        <v>31400</v>
      </c>
      <c r="K603" s="2" t="str">
        <f t="shared" si="109"/>
        <v>脚</v>
      </c>
      <c r="L603" s="2" t="str">
        <f t="shared" si="103"/>
        <v>3630331</v>
      </c>
      <c r="M603" s="2" t="str">
        <f>""</f>
        <v/>
      </c>
    </row>
    <row r="604" spans="1:13" x14ac:dyDescent="0.15">
      <c r="A604" s="2" t="str">
        <f t="shared" si="107"/>
        <v>1881110500</v>
      </c>
      <c r="B604" s="2" t="str">
        <f t="shared" si="108"/>
        <v>佐伯・区政調整</v>
      </c>
      <c r="C604" s="2" t="str">
        <f t="shared" si="104"/>
        <v>01ｲ00311</v>
      </c>
      <c r="D604" s="2" t="str">
        <f t="shared" si="105"/>
        <v>肘掛椅子</v>
      </c>
      <c r="E604" s="3" t="str">
        <f t="shared" si="100"/>
        <v>肘付</v>
      </c>
      <c r="F604" s="2" t="str">
        <f t="shared" si="101"/>
        <v>０００１</v>
      </c>
      <c r="G604" s="2" t="str">
        <f>"3620003696"</f>
        <v>3620003696</v>
      </c>
      <c r="H604" s="2" t="str">
        <f t="shared" si="106"/>
        <v>001</v>
      </c>
      <c r="I604" s="2" t="str">
        <f t="shared" si="102"/>
        <v>4100401</v>
      </c>
      <c r="J604" s="2">
        <f>31400</f>
        <v>31400</v>
      </c>
      <c r="K604" s="2" t="str">
        <f t="shared" si="109"/>
        <v>脚</v>
      </c>
      <c r="L604" s="2" t="str">
        <f t="shared" si="103"/>
        <v>3630331</v>
      </c>
      <c r="M604" s="2" t="str">
        <f>""</f>
        <v/>
      </c>
    </row>
    <row r="605" spans="1:13" x14ac:dyDescent="0.15">
      <c r="A605" s="2" t="str">
        <f t="shared" si="107"/>
        <v>1881110500</v>
      </c>
      <c r="B605" s="2" t="str">
        <f t="shared" si="108"/>
        <v>佐伯・区政調整</v>
      </c>
      <c r="C605" s="2" t="str">
        <f t="shared" si="104"/>
        <v>01ｲ00311</v>
      </c>
      <c r="D605" s="2" t="str">
        <f t="shared" si="105"/>
        <v>肘掛椅子</v>
      </c>
      <c r="E605" s="3" t="str">
        <f t="shared" si="100"/>
        <v>肘付</v>
      </c>
      <c r="F605" s="2" t="str">
        <f t="shared" si="101"/>
        <v>０００１</v>
      </c>
      <c r="G605" s="2" t="str">
        <f>"3620003697"</f>
        <v>3620003697</v>
      </c>
      <c r="H605" s="2" t="str">
        <f t="shared" si="106"/>
        <v>001</v>
      </c>
      <c r="I605" s="2" t="str">
        <f t="shared" si="102"/>
        <v>4100401</v>
      </c>
      <c r="J605" s="2">
        <f>31400</f>
        <v>31400</v>
      </c>
      <c r="K605" s="2" t="str">
        <f t="shared" si="109"/>
        <v>脚</v>
      </c>
      <c r="L605" s="2" t="str">
        <f t="shared" si="103"/>
        <v>3630331</v>
      </c>
      <c r="M605" s="2" t="str">
        <f>""</f>
        <v/>
      </c>
    </row>
    <row r="606" spans="1:13" x14ac:dyDescent="0.15">
      <c r="A606" s="2" t="str">
        <f t="shared" si="107"/>
        <v>1881110500</v>
      </c>
      <c r="B606" s="2" t="str">
        <f t="shared" si="108"/>
        <v>佐伯・区政調整</v>
      </c>
      <c r="C606" s="2" t="str">
        <f t="shared" si="104"/>
        <v>01ｲ00311</v>
      </c>
      <c r="D606" s="2" t="str">
        <f t="shared" si="105"/>
        <v>肘掛椅子</v>
      </c>
      <c r="E606" s="3" t="str">
        <f t="shared" si="100"/>
        <v>肘付</v>
      </c>
      <c r="F606" s="2" t="str">
        <f t="shared" si="101"/>
        <v>０００１</v>
      </c>
      <c r="G606" s="2" t="str">
        <f>"3620003698"</f>
        <v>3620003698</v>
      </c>
      <c r="H606" s="2" t="str">
        <f t="shared" si="106"/>
        <v>001</v>
      </c>
      <c r="I606" s="2" t="str">
        <f t="shared" si="102"/>
        <v>4100401</v>
      </c>
      <c r="J606" s="2">
        <f>31400</f>
        <v>31400</v>
      </c>
      <c r="K606" s="2" t="str">
        <f t="shared" si="109"/>
        <v>脚</v>
      </c>
      <c r="L606" s="2" t="str">
        <f t="shared" si="103"/>
        <v>3630331</v>
      </c>
      <c r="M606" s="2" t="str">
        <f>""</f>
        <v/>
      </c>
    </row>
    <row r="607" spans="1:13" x14ac:dyDescent="0.15">
      <c r="A607" s="2" t="str">
        <f t="shared" si="107"/>
        <v>1881110500</v>
      </c>
      <c r="B607" s="2" t="str">
        <f t="shared" si="108"/>
        <v>佐伯・区政調整</v>
      </c>
      <c r="C607" s="2" t="str">
        <f t="shared" si="104"/>
        <v>01ｲ00311</v>
      </c>
      <c r="D607" s="2" t="str">
        <f t="shared" si="105"/>
        <v>肘掛椅子</v>
      </c>
      <c r="E607" s="3" t="str">
        <f t="shared" si="100"/>
        <v>肘付</v>
      </c>
      <c r="F607" s="2" t="str">
        <f t="shared" si="101"/>
        <v>０００１</v>
      </c>
      <c r="G607" s="2" t="str">
        <f>"3620003699"</f>
        <v>3620003699</v>
      </c>
      <c r="H607" s="2" t="str">
        <f t="shared" si="106"/>
        <v>001</v>
      </c>
      <c r="I607" s="2" t="str">
        <f t="shared" si="102"/>
        <v>4100401</v>
      </c>
      <c r="J607" s="2">
        <f>31400</f>
        <v>31400</v>
      </c>
      <c r="K607" s="2" t="str">
        <f t="shared" si="109"/>
        <v>脚</v>
      </c>
      <c r="L607" s="2" t="str">
        <f t="shared" si="103"/>
        <v>3630331</v>
      </c>
      <c r="M607" s="2" t="str">
        <f>""</f>
        <v/>
      </c>
    </row>
    <row r="608" spans="1:13" x14ac:dyDescent="0.15">
      <c r="A608" s="2" t="str">
        <f t="shared" si="107"/>
        <v>1881110500</v>
      </c>
      <c r="B608" s="2" t="str">
        <f t="shared" si="108"/>
        <v>佐伯・区政調整</v>
      </c>
      <c r="C608" s="2" t="str">
        <f t="shared" si="104"/>
        <v>01ｲ00311</v>
      </c>
      <c r="D608" s="2" t="str">
        <f t="shared" si="105"/>
        <v>肘掛椅子</v>
      </c>
      <c r="E608" s="3" t="str">
        <f t="shared" si="100"/>
        <v>肘付</v>
      </c>
      <c r="F608" s="2" t="str">
        <f t="shared" si="101"/>
        <v>０００１</v>
      </c>
      <c r="G608" s="2" t="str">
        <f>"3620003700"</f>
        <v>3620003700</v>
      </c>
      <c r="H608" s="2" t="str">
        <f t="shared" si="106"/>
        <v>001</v>
      </c>
      <c r="I608" s="2" t="str">
        <f t="shared" si="102"/>
        <v>4100401</v>
      </c>
      <c r="J608" s="2">
        <f>31400</f>
        <v>31400</v>
      </c>
      <c r="K608" s="2" t="str">
        <f t="shared" si="109"/>
        <v>脚</v>
      </c>
      <c r="L608" s="2" t="str">
        <f t="shared" si="103"/>
        <v>3630331</v>
      </c>
      <c r="M608" s="2" t="str">
        <f>""</f>
        <v/>
      </c>
    </row>
    <row r="609" spans="1:13" x14ac:dyDescent="0.15">
      <c r="A609" s="2" t="str">
        <f t="shared" si="107"/>
        <v>1881110500</v>
      </c>
      <c r="B609" s="2" t="str">
        <f t="shared" si="108"/>
        <v>佐伯・区政調整</v>
      </c>
      <c r="C609" s="2" t="str">
        <f t="shared" si="104"/>
        <v>01ｲ00311</v>
      </c>
      <c r="D609" s="2" t="str">
        <f t="shared" si="105"/>
        <v>肘掛椅子</v>
      </c>
      <c r="E609" s="3" t="str">
        <f t="shared" si="100"/>
        <v>肘付</v>
      </c>
      <c r="F609" s="2" t="str">
        <f t="shared" si="101"/>
        <v>０００１</v>
      </c>
      <c r="G609" s="2" t="str">
        <f>"3620003701"</f>
        <v>3620003701</v>
      </c>
      <c r="H609" s="2" t="str">
        <f t="shared" si="106"/>
        <v>001</v>
      </c>
      <c r="I609" s="2" t="str">
        <f t="shared" si="102"/>
        <v>4100401</v>
      </c>
      <c r="J609" s="2">
        <f>31400</f>
        <v>31400</v>
      </c>
      <c r="K609" s="2" t="str">
        <f t="shared" si="109"/>
        <v>脚</v>
      </c>
      <c r="L609" s="2" t="str">
        <f t="shared" si="103"/>
        <v>3630331</v>
      </c>
      <c r="M609" s="2" t="str">
        <f>""</f>
        <v/>
      </c>
    </row>
    <row r="610" spans="1:13" x14ac:dyDescent="0.15">
      <c r="A610" s="2" t="str">
        <f t="shared" si="107"/>
        <v>1881110500</v>
      </c>
      <c r="B610" s="2" t="str">
        <f t="shared" si="108"/>
        <v>佐伯・区政調整</v>
      </c>
      <c r="C610" s="2" t="str">
        <f t="shared" si="104"/>
        <v>01ｲ00311</v>
      </c>
      <c r="D610" s="2" t="str">
        <f t="shared" si="105"/>
        <v>肘掛椅子</v>
      </c>
      <c r="E610" s="3" t="str">
        <f t="shared" ref="E610:E673" si="110">"肘付"</f>
        <v>肘付</v>
      </c>
      <c r="F610" s="2" t="str">
        <f t="shared" ref="F610:F673" si="111">"０００１"</f>
        <v>０００１</v>
      </c>
      <c r="G610" s="2" t="str">
        <f>"3620003702"</f>
        <v>3620003702</v>
      </c>
      <c r="H610" s="2" t="str">
        <f t="shared" si="106"/>
        <v>001</v>
      </c>
      <c r="I610" s="2" t="str">
        <f t="shared" ref="I610:I673" si="112">"4100401"</f>
        <v>4100401</v>
      </c>
      <c r="J610" s="2">
        <f>31400</f>
        <v>31400</v>
      </c>
      <c r="K610" s="2" t="str">
        <f t="shared" si="109"/>
        <v>脚</v>
      </c>
      <c r="L610" s="2" t="str">
        <f t="shared" ref="L610:L673" si="113">"3630331"</f>
        <v>3630331</v>
      </c>
      <c r="M610" s="2" t="str">
        <f>""</f>
        <v/>
      </c>
    </row>
    <row r="611" spans="1:13" x14ac:dyDescent="0.15">
      <c r="A611" s="2" t="str">
        <f t="shared" si="107"/>
        <v>1881110500</v>
      </c>
      <c r="B611" s="2" t="str">
        <f t="shared" si="108"/>
        <v>佐伯・区政調整</v>
      </c>
      <c r="C611" s="2" t="str">
        <f t="shared" si="104"/>
        <v>01ｲ00311</v>
      </c>
      <c r="D611" s="2" t="str">
        <f t="shared" si="105"/>
        <v>肘掛椅子</v>
      </c>
      <c r="E611" s="3" t="str">
        <f t="shared" si="110"/>
        <v>肘付</v>
      </c>
      <c r="F611" s="2" t="str">
        <f t="shared" si="111"/>
        <v>０００１</v>
      </c>
      <c r="G611" s="2" t="str">
        <f>"3620003703"</f>
        <v>3620003703</v>
      </c>
      <c r="H611" s="2" t="str">
        <f t="shared" si="106"/>
        <v>001</v>
      </c>
      <c r="I611" s="2" t="str">
        <f t="shared" si="112"/>
        <v>4100401</v>
      </c>
      <c r="J611" s="2">
        <f>31400</f>
        <v>31400</v>
      </c>
      <c r="K611" s="2" t="str">
        <f t="shared" si="109"/>
        <v>脚</v>
      </c>
      <c r="L611" s="2" t="str">
        <f t="shared" si="113"/>
        <v>3630331</v>
      </c>
      <c r="M611" s="2" t="str">
        <f>""</f>
        <v/>
      </c>
    </row>
    <row r="612" spans="1:13" x14ac:dyDescent="0.15">
      <c r="A612" s="2" t="str">
        <f t="shared" si="107"/>
        <v>1881110500</v>
      </c>
      <c r="B612" s="2" t="str">
        <f t="shared" si="108"/>
        <v>佐伯・区政調整</v>
      </c>
      <c r="C612" s="2" t="str">
        <f t="shared" si="104"/>
        <v>01ｲ00311</v>
      </c>
      <c r="D612" s="2" t="str">
        <f t="shared" si="105"/>
        <v>肘掛椅子</v>
      </c>
      <c r="E612" s="3" t="str">
        <f t="shared" si="110"/>
        <v>肘付</v>
      </c>
      <c r="F612" s="2" t="str">
        <f t="shared" si="111"/>
        <v>０００１</v>
      </c>
      <c r="G612" s="2" t="str">
        <f>"3620003704"</f>
        <v>3620003704</v>
      </c>
      <c r="H612" s="2" t="str">
        <f t="shared" si="106"/>
        <v>001</v>
      </c>
      <c r="I612" s="2" t="str">
        <f t="shared" si="112"/>
        <v>4100401</v>
      </c>
      <c r="J612" s="2">
        <f>31400</f>
        <v>31400</v>
      </c>
      <c r="K612" s="2" t="str">
        <f t="shared" si="109"/>
        <v>脚</v>
      </c>
      <c r="L612" s="2" t="str">
        <f t="shared" si="113"/>
        <v>3630331</v>
      </c>
      <c r="M612" s="2" t="str">
        <f>""</f>
        <v/>
      </c>
    </row>
    <row r="613" spans="1:13" x14ac:dyDescent="0.15">
      <c r="A613" s="2" t="str">
        <f t="shared" si="107"/>
        <v>1881110500</v>
      </c>
      <c r="B613" s="2" t="str">
        <f t="shared" si="108"/>
        <v>佐伯・区政調整</v>
      </c>
      <c r="C613" s="2" t="str">
        <f t="shared" si="104"/>
        <v>01ｲ00311</v>
      </c>
      <c r="D613" s="2" t="str">
        <f t="shared" si="105"/>
        <v>肘掛椅子</v>
      </c>
      <c r="E613" s="3" t="str">
        <f t="shared" si="110"/>
        <v>肘付</v>
      </c>
      <c r="F613" s="2" t="str">
        <f t="shared" si="111"/>
        <v>０００１</v>
      </c>
      <c r="G613" s="2" t="str">
        <f>"3620003705"</f>
        <v>3620003705</v>
      </c>
      <c r="H613" s="2" t="str">
        <f t="shared" si="106"/>
        <v>001</v>
      </c>
      <c r="I613" s="2" t="str">
        <f t="shared" si="112"/>
        <v>4100401</v>
      </c>
      <c r="J613" s="2">
        <f>31400</f>
        <v>31400</v>
      </c>
      <c r="K613" s="2" t="str">
        <f t="shared" si="109"/>
        <v>脚</v>
      </c>
      <c r="L613" s="2" t="str">
        <f t="shared" si="113"/>
        <v>3630331</v>
      </c>
      <c r="M613" s="2" t="str">
        <f>""</f>
        <v/>
      </c>
    </row>
    <row r="614" spans="1:13" x14ac:dyDescent="0.15">
      <c r="A614" s="2" t="str">
        <f t="shared" si="107"/>
        <v>1881110500</v>
      </c>
      <c r="B614" s="2" t="str">
        <f t="shared" si="108"/>
        <v>佐伯・区政調整</v>
      </c>
      <c r="C614" s="2" t="str">
        <f t="shared" si="104"/>
        <v>01ｲ00311</v>
      </c>
      <c r="D614" s="2" t="str">
        <f t="shared" si="105"/>
        <v>肘掛椅子</v>
      </c>
      <c r="E614" s="3" t="str">
        <f t="shared" si="110"/>
        <v>肘付</v>
      </c>
      <c r="F614" s="2" t="str">
        <f t="shared" si="111"/>
        <v>０００１</v>
      </c>
      <c r="G614" s="2" t="str">
        <f>"3620003706"</f>
        <v>3620003706</v>
      </c>
      <c r="H614" s="2" t="str">
        <f t="shared" si="106"/>
        <v>001</v>
      </c>
      <c r="I614" s="2" t="str">
        <f t="shared" si="112"/>
        <v>4100401</v>
      </c>
      <c r="J614" s="2">
        <f>31400</f>
        <v>31400</v>
      </c>
      <c r="K614" s="2" t="str">
        <f t="shared" si="109"/>
        <v>脚</v>
      </c>
      <c r="L614" s="2" t="str">
        <f t="shared" si="113"/>
        <v>3630331</v>
      </c>
      <c r="M614" s="2" t="str">
        <f>""</f>
        <v/>
      </c>
    </row>
    <row r="615" spans="1:13" x14ac:dyDescent="0.15">
      <c r="A615" s="2" t="str">
        <f t="shared" si="107"/>
        <v>1881110500</v>
      </c>
      <c r="B615" s="2" t="str">
        <f t="shared" si="108"/>
        <v>佐伯・区政調整</v>
      </c>
      <c r="C615" s="2" t="str">
        <f t="shared" si="104"/>
        <v>01ｲ00311</v>
      </c>
      <c r="D615" s="2" t="str">
        <f t="shared" si="105"/>
        <v>肘掛椅子</v>
      </c>
      <c r="E615" s="3" t="str">
        <f t="shared" si="110"/>
        <v>肘付</v>
      </c>
      <c r="F615" s="2" t="str">
        <f t="shared" si="111"/>
        <v>０００１</v>
      </c>
      <c r="G615" s="2" t="str">
        <f>"3620003707"</f>
        <v>3620003707</v>
      </c>
      <c r="H615" s="2" t="str">
        <f t="shared" si="106"/>
        <v>001</v>
      </c>
      <c r="I615" s="2" t="str">
        <f t="shared" si="112"/>
        <v>4100401</v>
      </c>
      <c r="J615" s="2">
        <f>31400</f>
        <v>31400</v>
      </c>
      <c r="K615" s="2" t="str">
        <f t="shared" si="109"/>
        <v>脚</v>
      </c>
      <c r="L615" s="2" t="str">
        <f t="shared" si="113"/>
        <v>3630331</v>
      </c>
      <c r="M615" s="2" t="str">
        <f>""</f>
        <v/>
      </c>
    </row>
    <row r="616" spans="1:13" x14ac:dyDescent="0.15">
      <c r="A616" s="2" t="str">
        <f t="shared" si="107"/>
        <v>1881110500</v>
      </c>
      <c r="B616" s="2" t="str">
        <f t="shared" si="108"/>
        <v>佐伯・区政調整</v>
      </c>
      <c r="C616" s="2" t="str">
        <f t="shared" si="104"/>
        <v>01ｲ00311</v>
      </c>
      <c r="D616" s="2" t="str">
        <f t="shared" si="105"/>
        <v>肘掛椅子</v>
      </c>
      <c r="E616" s="3" t="str">
        <f t="shared" si="110"/>
        <v>肘付</v>
      </c>
      <c r="F616" s="2" t="str">
        <f t="shared" si="111"/>
        <v>０００１</v>
      </c>
      <c r="G616" s="2" t="str">
        <f>"3620003708"</f>
        <v>3620003708</v>
      </c>
      <c r="H616" s="2" t="str">
        <f t="shared" si="106"/>
        <v>001</v>
      </c>
      <c r="I616" s="2" t="str">
        <f t="shared" si="112"/>
        <v>4100401</v>
      </c>
      <c r="J616" s="2">
        <f>31400</f>
        <v>31400</v>
      </c>
      <c r="K616" s="2" t="str">
        <f t="shared" si="109"/>
        <v>脚</v>
      </c>
      <c r="L616" s="2" t="str">
        <f t="shared" si="113"/>
        <v>3630331</v>
      </c>
      <c r="M616" s="2" t="str">
        <f>""</f>
        <v/>
      </c>
    </row>
    <row r="617" spans="1:13" x14ac:dyDescent="0.15">
      <c r="A617" s="2" t="str">
        <f t="shared" si="107"/>
        <v>1881110500</v>
      </c>
      <c r="B617" s="2" t="str">
        <f t="shared" si="108"/>
        <v>佐伯・区政調整</v>
      </c>
      <c r="C617" s="2" t="str">
        <f t="shared" si="104"/>
        <v>01ｲ00311</v>
      </c>
      <c r="D617" s="2" t="str">
        <f t="shared" si="105"/>
        <v>肘掛椅子</v>
      </c>
      <c r="E617" s="3" t="str">
        <f t="shared" si="110"/>
        <v>肘付</v>
      </c>
      <c r="F617" s="2" t="str">
        <f t="shared" si="111"/>
        <v>０００１</v>
      </c>
      <c r="G617" s="2" t="str">
        <f>"3620003709"</f>
        <v>3620003709</v>
      </c>
      <c r="H617" s="2" t="str">
        <f t="shared" si="106"/>
        <v>001</v>
      </c>
      <c r="I617" s="2" t="str">
        <f t="shared" si="112"/>
        <v>4100401</v>
      </c>
      <c r="J617" s="2">
        <f>31400</f>
        <v>31400</v>
      </c>
      <c r="K617" s="2" t="str">
        <f t="shared" si="109"/>
        <v>脚</v>
      </c>
      <c r="L617" s="2" t="str">
        <f t="shared" si="113"/>
        <v>3630331</v>
      </c>
      <c r="M617" s="2" t="str">
        <f>""</f>
        <v/>
      </c>
    </row>
    <row r="618" spans="1:13" x14ac:dyDescent="0.15">
      <c r="A618" s="2" t="str">
        <f t="shared" si="107"/>
        <v>1881110500</v>
      </c>
      <c r="B618" s="2" t="str">
        <f t="shared" si="108"/>
        <v>佐伯・区政調整</v>
      </c>
      <c r="C618" s="2" t="str">
        <f t="shared" si="104"/>
        <v>01ｲ00311</v>
      </c>
      <c r="D618" s="2" t="str">
        <f t="shared" si="105"/>
        <v>肘掛椅子</v>
      </c>
      <c r="E618" s="3" t="str">
        <f t="shared" si="110"/>
        <v>肘付</v>
      </c>
      <c r="F618" s="2" t="str">
        <f t="shared" si="111"/>
        <v>０００１</v>
      </c>
      <c r="G618" s="2" t="str">
        <f>"3620003710"</f>
        <v>3620003710</v>
      </c>
      <c r="H618" s="2" t="str">
        <f t="shared" si="106"/>
        <v>001</v>
      </c>
      <c r="I618" s="2" t="str">
        <f t="shared" si="112"/>
        <v>4100401</v>
      </c>
      <c r="J618" s="2">
        <f>31400</f>
        <v>31400</v>
      </c>
      <c r="K618" s="2" t="str">
        <f t="shared" si="109"/>
        <v>脚</v>
      </c>
      <c r="L618" s="2" t="str">
        <f t="shared" si="113"/>
        <v>3630331</v>
      </c>
      <c r="M618" s="2" t="str">
        <f>""</f>
        <v/>
      </c>
    </row>
    <row r="619" spans="1:13" x14ac:dyDescent="0.15">
      <c r="A619" s="2" t="str">
        <f t="shared" si="107"/>
        <v>1881110500</v>
      </c>
      <c r="B619" s="2" t="str">
        <f t="shared" si="108"/>
        <v>佐伯・区政調整</v>
      </c>
      <c r="C619" s="2" t="str">
        <f t="shared" si="104"/>
        <v>01ｲ00311</v>
      </c>
      <c r="D619" s="2" t="str">
        <f t="shared" si="105"/>
        <v>肘掛椅子</v>
      </c>
      <c r="E619" s="3" t="str">
        <f t="shared" si="110"/>
        <v>肘付</v>
      </c>
      <c r="F619" s="2" t="str">
        <f t="shared" si="111"/>
        <v>０００１</v>
      </c>
      <c r="G619" s="2" t="str">
        <f>"3620003711"</f>
        <v>3620003711</v>
      </c>
      <c r="H619" s="2" t="str">
        <f t="shared" si="106"/>
        <v>001</v>
      </c>
      <c r="I619" s="2" t="str">
        <f t="shared" si="112"/>
        <v>4100401</v>
      </c>
      <c r="J619" s="2">
        <f>31400</f>
        <v>31400</v>
      </c>
      <c r="K619" s="2" t="str">
        <f t="shared" si="109"/>
        <v>脚</v>
      </c>
      <c r="L619" s="2" t="str">
        <f t="shared" si="113"/>
        <v>3630331</v>
      </c>
      <c r="M619" s="2" t="str">
        <f>""</f>
        <v/>
      </c>
    </row>
    <row r="620" spans="1:13" x14ac:dyDescent="0.15">
      <c r="A620" s="2" t="str">
        <f t="shared" si="107"/>
        <v>1881110500</v>
      </c>
      <c r="B620" s="2" t="str">
        <f t="shared" si="108"/>
        <v>佐伯・区政調整</v>
      </c>
      <c r="C620" s="2" t="str">
        <f t="shared" si="104"/>
        <v>01ｲ00311</v>
      </c>
      <c r="D620" s="2" t="str">
        <f t="shared" si="105"/>
        <v>肘掛椅子</v>
      </c>
      <c r="E620" s="3" t="str">
        <f t="shared" si="110"/>
        <v>肘付</v>
      </c>
      <c r="F620" s="2" t="str">
        <f t="shared" si="111"/>
        <v>０００１</v>
      </c>
      <c r="G620" s="2" t="str">
        <f>"3620003712"</f>
        <v>3620003712</v>
      </c>
      <c r="H620" s="2" t="str">
        <f t="shared" si="106"/>
        <v>001</v>
      </c>
      <c r="I620" s="2" t="str">
        <f t="shared" si="112"/>
        <v>4100401</v>
      </c>
      <c r="J620" s="2">
        <f>31400</f>
        <v>31400</v>
      </c>
      <c r="K620" s="2" t="str">
        <f t="shared" si="109"/>
        <v>脚</v>
      </c>
      <c r="L620" s="2" t="str">
        <f t="shared" si="113"/>
        <v>3630331</v>
      </c>
      <c r="M620" s="2" t="str">
        <f>""</f>
        <v/>
      </c>
    </row>
    <row r="621" spans="1:13" x14ac:dyDescent="0.15">
      <c r="A621" s="2" t="str">
        <f t="shared" si="107"/>
        <v>1881110500</v>
      </c>
      <c r="B621" s="2" t="str">
        <f t="shared" si="108"/>
        <v>佐伯・区政調整</v>
      </c>
      <c r="C621" s="2" t="str">
        <f t="shared" si="104"/>
        <v>01ｲ00311</v>
      </c>
      <c r="D621" s="2" t="str">
        <f t="shared" si="105"/>
        <v>肘掛椅子</v>
      </c>
      <c r="E621" s="3" t="str">
        <f t="shared" si="110"/>
        <v>肘付</v>
      </c>
      <c r="F621" s="2" t="str">
        <f t="shared" si="111"/>
        <v>０００１</v>
      </c>
      <c r="G621" s="2" t="str">
        <f>"3620003713"</f>
        <v>3620003713</v>
      </c>
      <c r="H621" s="2" t="str">
        <f t="shared" si="106"/>
        <v>001</v>
      </c>
      <c r="I621" s="2" t="str">
        <f t="shared" si="112"/>
        <v>4100401</v>
      </c>
      <c r="J621" s="2">
        <f>31400</f>
        <v>31400</v>
      </c>
      <c r="K621" s="2" t="str">
        <f t="shared" si="109"/>
        <v>脚</v>
      </c>
      <c r="L621" s="2" t="str">
        <f t="shared" si="113"/>
        <v>3630331</v>
      </c>
      <c r="M621" s="2" t="str">
        <f>""</f>
        <v/>
      </c>
    </row>
    <row r="622" spans="1:13" x14ac:dyDescent="0.15">
      <c r="A622" s="2" t="str">
        <f t="shared" si="107"/>
        <v>1881110500</v>
      </c>
      <c r="B622" s="2" t="str">
        <f t="shared" si="108"/>
        <v>佐伯・区政調整</v>
      </c>
      <c r="C622" s="2" t="str">
        <f t="shared" si="104"/>
        <v>01ｲ00311</v>
      </c>
      <c r="D622" s="2" t="str">
        <f t="shared" si="105"/>
        <v>肘掛椅子</v>
      </c>
      <c r="E622" s="3" t="str">
        <f t="shared" si="110"/>
        <v>肘付</v>
      </c>
      <c r="F622" s="2" t="str">
        <f t="shared" si="111"/>
        <v>０００１</v>
      </c>
      <c r="G622" s="2" t="str">
        <f>"3620003714"</f>
        <v>3620003714</v>
      </c>
      <c r="H622" s="2" t="str">
        <f t="shared" si="106"/>
        <v>001</v>
      </c>
      <c r="I622" s="2" t="str">
        <f t="shared" si="112"/>
        <v>4100401</v>
      </c>
      <c r="J622" s="2">
        <f>31400</f>
        <v>31400</v>
      </c>
      <c r="K622" s="2" t="str">
        <f t="shared" si="109"/>
        <v>脚</v>
      </c>
      <c r="L622" s="2" t="str">
        <f t="shared" si="113"/>
        <v>3630331</v>
      </c>
      <c r="M622" s="2" t="str">
        <f>""</f>
        <v/>
      </c>
    </row>
    <row r="623" spans="1:13" x14ac:dyDescent="0.15">
      <c r="A623" s="2" t="str">
        <f t="shared" si="107"/>
        <v>1881110500</v>
      </c>
      <c r="B623" s="2" t="str">
        <f t="shared" si="108"/>
        <v>佐伯・区政調整</v>
      </c>
      <c r="C623" s="2" t="str">
        <f t="shared" si="104"/>
        <v>01ｲ00311</v>
      </c>
      <c r="D623" s="2" t="str">
        <f t="shared" si="105"/>
        <v>肘掛椅子</v>
      </c>
      <c r="E623" s="3" t="str">
        <f t="shared" si="110"/>
        <v>肘付</v>
      </c>
      <c r="F623" s="2" t="str">
        <f t="shared" si="111"/>
        <v>０００１</v>
      </c>
      <c r="G623" s="2" t="str">
        <f>"3620003715"</f>
        <v>3620003715</v>
      </c>
      <c r="H623" s="2" t="str">
        <f t="shared" si="106"/>
        <v>001</v>
      </c>
      <c r="I623" s="2" t="str">
        <f t="shared" si="112"/>
        <v>4100401</v>
      </c>
      <c r="J623" s="2">
        <f>31400</f>
        <v>31400</v>
      </c>
      <c r="K623" s="2" t="str">
        <f t="shared" si="109"/>
        <v>脚</v>
      </c>
      <c r="L623" s="2" t="str">
        <f t="shared" si="113"/>
        <v>3630331</v>
      </c>
      <c r="M623" s="2" t="str">
        <f>""</f>
        <v/>
      </c>
    </row>
    <row r="624" spans="1:13" x14ac:dyDescent="0.15">
      <c r="A624" s="2" t="str">
        <f t="shared" si="107"/>
        <v>1881110500</v>
      </c>
      <c r="B624" s="2" t="str">
        <f t="shared" si="108"/>
        <v>佐伯・区政調整</v>
      </c>
      <c r="C624" s="2" t="str">
        <f t="shared" si="104"/>
        <v>01ｲ00311</v>
      </c>
      <c r="D624" s="2" t="str">
        <f t="shared" si="105"/>
        <v>肘掛椅子</v>
      </c>
      <c r="E624" s="3" t="str">
        <f t="shared" si="110"/>
        <v>肘付</v>
      </c>
      <c r="F624" s="2" t="str">
        <f t="shared" si="111"/>
        <v>０００１</v>
      </c>
      <c r="G624" s="2" t="str">
        <f>"3620003716"</f>
        <v>3620003716</v>
      </c>
      <c r="H624" s="2" t="str">
        <f t="shared" si="106"/>
        <v>001</v>
      </c>
      <c r="I624" s="2" t="str">
        <f t="shared" si="112"/>
        <v>4100401</v>
      </c>
      <c r="J624" s="2">
        <f>31400</f>
        <v>31400</v>
      </c>
      <c r="K624" s="2" t="str">
        <f t="shared" si="109"/>
        <v>脚</v>
      </c>
      <c r="L624" s="2" t="str">
        <f t="shared" si="113"/>
        <v>3630331</v>
      </c>
      <c r="M624" s="2" t="str">
        <f>""</f>
        <v/>
      </c>
    </row>
    <row r="625" spans="1:13" x14ac:dyDescent="0.15">
      <c r="A625" s="2" t="str">
        <f t="shared" si="107"/>
        <v>1881110500</v>
      </c>
      <c r="B625" s="2" t="str">
        <f t="shared" si="108"/>
        <v>佐伯・区政調整</v>
      </c>
      <c r="C625" s="2" t="str">
        <f t="shared" si="104"/>
        <v>01ｲ00311</v>
      </c>
      <c r="D625" s="2" t="str">
        <f t="shared" si="105"/>
        <v>肘掛椅子</v>
      </c>
      <c r="E625" s="3" t="str">
        <f t="shared" si="110"/>
        <v>肘付</v>
      </c>
      <c r="F625" s="2" t="str">
        <f t="shared" si="111"/>
        <v>０００１</v>
      </c>
      <c r="G625" s="2" t="str">
        <f>"3620003717"</f>
        <v>3620003717</v>
      </c>
      <c r="H625" s="2" t="str">
        <f t="shared" si="106"/>
        <v>001</v>
      </c>
      <c r="I625" s="2" t="str">
        <f t="shared" si="112"/>
        <v>4100401</v>
      </c>
      <c r="J625" s="2">
        <f>31400</f>
        <v>31400</v>
      </c>
      <c r="K625" s="2" t="str">
        <f t="shared" si="109"/>
        <v>脚</v>
      </c>
      <c r="L625" s="2" t="str">
        <f t="shared" si="113"/>
        <v>3630331</v>
      </c>
      <c r="M625" s="2" t="str">
        <f>""</f>
        <v/>
      </c>
    </row>
    <row r="626" spans="1:13" x14ac:dyDescent="0.15">
      <c r="A626" s="2" t="str">
        <f t="shared" si="107"/>
        <v>1881110500</v>
      </c>
      <c r="B626" s="2" t="str">
        <f t="shared" si="108"/>
        <v>佐伯・区政調整</v>
      </c>
      <c r="C626" s="2" t="str">
        <f t="shared" si="104"/>
        <v>01ｲ00311</v>
      </c>
      <c r="D626" s="2" t="str">
        <f t="shared" si="105"/>
        <v>肘掛椅子</v>
      </c>
      <c r="E626" s="3" t="str">
        <f t="shared" si="110"/>
        <v>肘付</v>
      </c>
      <c r="F626" s="2" t="str">
        <f t="shared" si="111"/>
        <v>０００１</v>
      </c>
      <c r="G626" s="2" t="str">
        <f>"3620003718"</f>
        <v>3620003718</v>
      </c>
      <c r="H626" s="2" t="str">
        <f t="shared" si="106"/>
        <v>001</v>
      </c>
      <c r="I626" s="2" t="str">
        <f t="shared" si="112"/>
        <v>4100401</v>
      </c>
      <c r="J626" s="2">
        <f>31400</f>
        <v>31400</v>
      </c>
      <c r="K626" s="2" t="str">
        <f t="shared" si="109"/>
        <v>脚</v>
      </c>
      <c r="L626" s="2" t="str">
        <f t="shared" si="113"/>
        <v>3630331</v>
      </c>
      <c r="M626" s="2" t="str">
        <f>""</f>
        <v/>
      </c>
    </row>
    <row r="627" spans="1:13" x14ac:dyDescent="0.15">
      <c r="A627" s="2" t="str">
        <f t="shared" si="107"/>
        <v>1881110500</v>
      </c>
      <c r="B627" s="2" t="str">
        <f t="shared" si="108"/>
        <v>佐伯・区政調整</v>
      </c>
      <c r="C627" s="2" t="str">
        <f t="shared" si="104"/>
        <v>01ｲ00311</v>
      </c>
      <c r="D627" s="2" t="str">
        <f t="shared" si="105"/>
        <v>肘掛椅子</v>
      </c>
      <c r="E627" s="3" t="str">
        <f t="shared" si="110"/>
        <v>肘付</v>
      </c>
      <c r="F627" s="2" t="str">
        <f t="shared" si="111"/>
        <v>０００１</v>
      </c>
      <c r="G627" s="2" t="str">
        <f>"3620003719"</f>
        <v>3620003719</v>
      </c>
      <c r="H627" s="2" t="str">
        <f t="shared" si="106"/>
        <v>001</v>
      </c>
      <c r="I627" s="2" t="str">
        <f t="shared" si="112"/>
        <v>4100401</v>
      </c>
      <c r="J627" s="2">
        <f>31400</f>
        <v>31400</v>
      </c>
      <c r="K627" s="2" t="str">
        <f t="shared" si="109"/>
        <v>脚</v>
      </c>
      <c r="L627" s="2" t="str">
        <f t="shared" si="113"/>
        <v>3630331</v>
      </c>
      <c r="M627" s="2" t="str">
        <f>""</f>
        <v/>
      </c>
    </row>
    <row r="628" spans="1:13" x14ac:dyDescent="0.15">
      <c r="A628" s="2" t="str">
        <f t="shared" si="107"/>
        <v>1881110500</v>
      </c>
      <c r="B628" s="2" t="str">
        <f t="shared" si="108"/>
        <v>佐伯・区政調整</v>
      </c>
      <c r="C628" s="2" t="str">
        <f t="shared" si="104"/>
        <v>01ｲ00311</v>
      </c>
      <c r="D628" s="2" t="str">
        <f t="shared" si="105"/>
        <v>肘掛椅子</v>
      </c>
      <c r="E628" s="3" t="str">
        <f t="shared" si="110"/>
        <v>肘付</v>
      </c>
      <c r="F628" s="2" t="str">
        <f t="shared" si="111"/>
        <v>０００１</v>
      </c>
      <c r="G628" s="2" t="str">
        <f>"3620003720"</f>
        <v>3620003720</v>
      </c>
      <c r="H628" s="2" t="str">
        <f t="shared" si="106"/>
        <v>001</v>
      </c>
      <c r="I628" s="2" t="str">
        <f t="shared" si="112"/>
        <v>4100401</v>
      </c>
      <c r="J628" s="2">
        <f>31400</f>
        <v>31400</v>
      </c>
      <c r="K628" s="2" t="str">
        <f t="shared" si="109"/>
        <v>脚</v>
      </c>
      <c r="L628" s="2" t="str">
        <f t="shared" si="113"/>
        <v>3630331</v>
      </c>
      <c r="M628" s="2" t="str">
        <f>""</f>
        <v/>
      </c>
    </row>
    <row r="629" spans="1:13" x14ac:dyDescent="0.15">
      <c r="A629" s="2" t="str">
        <f t="shared" si="107"/>
        <v>1881110500</v>
      </c>
      <c r="B629" s="2" t="str">
        <f t="shared" si="108"/>
        <v>佐伯・区政調整</v>
      </c>
      <c r="C629" s="2" t="str">
        <f t="shared" si="104"/>
        <v>01ｲ00311</v>
      </c>
      <c r="D629" s="2" t="str">
        <f t="shared" si="105"/>
        <v>肘掛椅子</v>
      </c>
      <c r="E629" s="3" t="str">
        <f t="shared" si="110"/>
        <v>肘付</v>
      </c>
      <c r="F629" s="2" t="str">
        <f t="shared" si="111"/>
        <v>０００１</v>
      </c>
      <c r="G629" s="2" t="str">
        <f>"3620003721"</f>
        <v>3620003721</v>
      </c>
      <c r="H629" s="2" t="str">
        <f t="shared" si="106"/>
        <v>001</v>
      </c>
      <c r="I629" s="2" t="str">
        <f t="shared" si="112"/>
        <v>4100401</v>
      </c>
      <c r="J629" s="2">
        <f>31400</f>
        <v>31400</v>
      </c>
      <c r="K629" s="2" t="str">
        <f t="shared" si="109"/>
        <v>脚</v>
      </c>
      <c r="L629" s="2" t="str">
        <f t="shared" si="113"/>
        <v>3630331</v>
      </c>
      <c r="M629" s="2" t="str">
        <f>""</f>
        <v/>
      </c>
    </row>
    <row r="630" spans="1:13" x14ac:dyDescent="0.15">
      <c r="A630" s="2" t="str">
        <f t="shared" si="107"/>
        <v>1881110500</v>
      </c>
      <c r="B630" s="2" t="str">
        <f t="shared" si="108"/>
        <v>佐伯・区政調整</v>
      </c>
      <c r="C630" s="2" t="str">
        <f t="shared" si="104"/>
        <v>01ｲ00311</v>
      </c>
      <c r="D630" s="2" t="str">
        <f t="shared" si="105"/>
        <v>肘掛椅子</v>
      </c>
      <c r="E630" s="3" t="str">
        <f t="shared" si="110"/>
        <v>肘付</v>
      </c>
      <c r="F630" s="2" t="str">
        <f t="shared" si="111"/>
        <v>０００１</v>
      </c>
      <c r="G630" s="2" t="str">
        <f>"3620003722"</f>
        <v>3620003722</v>
      </c>
      <c r="H630" s="2" t="str">
        <f t="shared" si="106"/>
        <v>001</v>
      </c>
      <c r="I630" s="2" t="str">
        <f t="shared" si="112"/>
        <v>4100401</v>
      </c>
      <c r="J630" s="2">
        <f>31400</f>
        <v>31400</v>
      </c>
      <c r="K630" s="2" t="str">
        <f t="shared" si="109"/>
        <v>脚</v>
      </c>
      <c r="L630" s="2" t="str">
        <f t="shared" si="113"/>
        <v>3630331</v>
      </c>
      <c r="M630" s="2" t="str">
        <f>""</f>
        <v/>
      </c>
    </row>
    <row r="631" spans="1:13" x14ac:dyDescent="0.15">
      <c r="A631" s="2" t="str">
        <f t="shared" si="107"/>
        <v>1881110500</v>
      </c>
      <c r="B631" s="2" t="str">
        <f t="shared" si="108"/>
        <v>佐伯・区政調整</v>
      </c>
      <c r="C631" s="2" t="str">
        <f t="shared" si="104"/>
        <v>01ｲ00311</v>
      </c>
      <c r="D631" s="2" t="str">
        <f t="shared" si="105"/>
        <v>肘掛椅子</v>
      </c>
      <c r="E631" s="3" t="str">
        <f t="shared" si="110"/>
        <v>肘付</v>
      </c>
      <c r="F631" s="2" t="str">
        <f t="shared" si="111"/>
        <v>０００１</v>
      </c>
      <c r="G631" s="2" t="str">
        <f>"3620003723"</f>
        <v>3620003723</v>
      </c>
      <c r="H631" s="2" t="str">
        <f t="shared" si="106"/>
        <v>001</v>
      </c>
      <c r="I631" s="2" t="str">
        <f t="shared" si="112"/>
        <v>4100401</v>
      </c>
      <c r="J631" s="2">
        <f>31400</f>
        <v>31400</v>
      </c>
      <c r="K631" s="2" t="str">
        <f t="shared" si="109"/>
        <v>脚</v>
      </c>
      <c r="L631" s="2" t="str">
        <f t="shared" si="113"/>
        <v>3630331</v>
      </c>
      <c r="M631" s="2" t="str">
        <f>""</f>
        <v/>
      </c>
    </row>
    <row r="632" spans="1:13" x14ac:dyDescent="0.15">
      <c r="A632" s="2" t="str">
        <f t="shared" si="107"/>
        <v>1881110500</v>
      </c>
      <c r="B632" s="2" t="str">
        <f t="shared" si="108"/>
        <v>佐伯・区政調整</v>
      </c>
      <c r="C632" s="2" t="str">
        <f t="shared" si="104"/>
        <v>01ｲ00311</v>
      </c>
      <c r="D632" s="2" t="str">
        <f t="shared" si="105"/>
        <v>肘掛椅子</v>
      </c>
      <c r="E632" s="3" t="str">
        <f t="shared" si="110"/>
        <v>肘付</v>
      </c>
      <c r="F632" s="2" t="str">
        <f t="shared" si="111"/>
        <v>０００１</v>
      </c>
      <c r="G632" s="2" t="str">
        <f>"3620003724"</f>
        <v>3620003724</v>
      </c>
      <c r="H632" s="2" t="str">
        <f t="shared" si="106"/>
        <v>001</v>
      </c>
      <c r="I632" s="2" t="str">
        <f t="shared" si="112"/>
        <v>4100401</v>
      </c>
      <c r="J632" s="2">
        <f>31400</f>
        <v>31400</v>
      </c>
      <c r="K632" s="2" t="str">
        <f t="shared" si="109"/>
        <v>脚</v>
      </c>
      <c r="L632" s="2" t="str">
        <f t="shared" si="113"/>
        <v>3630331</v>
      </c>
      <c r="M632" s="2" t="str">
        <f>""</f>
        <v/>
      </c>
    </row>
    <row r="633" spans="1:13" x14ac:dyDescent="0.15">
      <c r="A633" s="2" t="str">
        <f t="shared" si="107"/>
        <v>1881110500</v>
      </c>
      <c r="B633" s="2" t="str">
        <f t="shared" si="108"/>
        <v>佐伯・区政調整</v>
      </c>
      <c r="C633" s="2" t="str">
        <f t="shared" si="104"/>
        <v>01ｲ00311</v>
      </c>
      <c r="D633" s="2" t="str">
        <f t="shared" si="105"/>
        <v>肘掛椅子</v>
      </c>
      <c r="E633" s="3" t="str">
        <f t="shared" si="110"/>
        <v>肘付</v>
      </c>
      <c r="F633" s="2" t="str">
        <f t="shared" si="111"/>
        <v>０００１</v>
      </c>
      <c r="G633" s="2" t="str">
        <f>"3620003725"</f>
        <v>3620003725</v>
      </c>
      <c r="H633" s="2" t="str">
        <f t="shared" si="106"/>
        <v>001</v>
      </c>
      <c r="I633" s="2" t="str">
        <f t="shared" si="112"/>
        <v>4100401</v>
      </c>
      <c r="J633" s="2">
        <f>31400</f>
        <v>31400</v>
      </c>
      <c r="K633" s="2" t="str">
        <f t="shared" si="109"/>
        <v>脚</v>
      </c>
      <c r="L633" s="2" t="str">
        <f t="shared" si="113"/>
        <v>3630331</v>
      </c>
      <c r="M633" s="2" t="str">
        <f>""</f>
        <v/>
      </c>
    </row>
    <row r="634" spans="1:13" x14ac:dyDescent="0.15">
      <c r="A634" s="2" t="str">
        <f t="shared" si="107"/>
        <v>1881110500</v>
      </c>
      <c r="B634" s="2" t="str">
        <f t="shared" si="108"/>
        <v>佐伯・区政調整</v>
      </c>
      <c r="C634" s="2" t="str">
        <f t="shared" si="104"/>
        <v>01ｲ00311</v>
      </c>
      <c r="D634" s="2" t="str">
        <f t="shared" si="105"/>
        <v>肘掛椅子</v>
      </c>
      <c r="E634" s="3" t="str">
        <f t="shared" si="110"/>
        <v>肘付</v>
      </c>
      <c r="F634" s="2" t="str">
        <f t="shared" si="111"/>
        <v>０００１</v>
      </c>
      <c r="G634" s="2" t="str">
        <f>"3620003726"</f>
        <v>3620003726</v>
      </c>
      <c r="H634" s="2" t="str">
        <f t="shared" si="106"/>
        <v>001</v>
      </c>
      <c r="I634" s="2" t="str">
        <f t="shared" si="112"/>
        <v>4100401</v>
      </c>
      <c r="J634" s="2">
        <f>31400</f>
        <v>31400</v>
      </c>
      <c r="K634" s="2" t="str">
        <f t="shared" si="109"/>
        <v>脚</v>
      </c>
      <c r="L634" s="2" t="str">
        <f t="shared" si="113"/>
        <v>3630331</v>
      </c>
      <c r="M634" s="2" t="str">
        <f>""</f>
        <v/>
      </c>
    </row>
    <row r="635" spans="1:13" x14ac:dyDescent="0.15">
      <c r="A635" s="2" t="str">
        <f t="shared" si="107"/>
        <v>1881110500</v>
      </c>
      <c r="B635" s="2" t="str">
        <f t="shared" si="108"/>
        <v>佐伯・区政調整</v>
      </c>
      <c r="C635" s="2" t="str">
        <f t="shared" si="104"/>
        <v>01ｲ00311</v>
      </c>
      <c r="D635" s="2" t="str">
        <f t="shared" si="105"/>
        <v>肘掛椅子</v>
      </c>
      <c r="E635" s="3" t="str">
        <f t="shared" si="110"/>
        <v>肘付</v>
      </c>
      <c r="F635" s="2" t="str">
        <f t="shared" si="111"/>
        <v>０００１</v>
      </c>
      <c r="G635" s="2" t="str">
        <f>"3620003727"</f>
        <v>3620003727</v>
      </c>
      <c r="H635" s="2" t="str">
        <f t="shared" si="106"/>
        <v>001</v>
      </c>
      <c r="I635" s="2" t="str">
        <f t="shared" si="112"/>
        <v>4100401</v>
      </c>
      <c r="J635" s="2">
        <f>31400</f>
        <v>31400</v>
      </c>
      <c r="K635" s="2" t="str">
        <f t="shared" si="109"/>
        <v>脚</v>
      </c>
      <c r="L635" s="2" t="str">
        <f t="shared" si="113"/>
        <v>3630331</v>
      </c>
      <c r="M635" s="2" t="str">
        <f>""</f>
        <v/>
      </c>
    </row>
    <row r="636" spans="1:13" x14ac:dyDescent="0.15">
      <c r="A636" s="2" t="str">
        <f t="shared" si="107"/>
        <v>1881110500</v>
      </c>
      <c r="B636" s="2" t="str">
        <f t="shared" si="108"/>
        <v>佐伯・区政調整</v>
      </c>
      <c r="C636" s="2" t="str">
        <f t="shared" si="104"/>
        <v>01ｲ00311</v>
      </c>
      <c r="D636" s="2" t="str">
        <f t="shared" si="105"/>
        <v>肘掛椅子</v>
      </c>
      <c r="E636" s="3" t="str">
        <f t="shared" si="110"/>
        <v>肘付</v>
      </c>
      <c r="F636" s="2" t="str">
        <f t="shared" si="111"/>
        <v>０００１</v>
      </c>
      <c r="G636" s="2" t="str">
        <f>"3620003728"</f>
        <v>3620003728</v>
      </c>
      <c r="H636" s="2" t="str">
        <f t="shared" si="106"/>
        <v>001</v>
      </c>
      <c r="I636" s="2" t="str">
        <f t="shared" si="112"/>
        <v>4100401</v>
      </c>
      <c r="J636" s="2">
        <f>31400</f>
        <v>31400</v>
      </c>
      <c r="K636" s="2" t="str">
        <f t="shared" si="109"/>
        <v>脚</v>
      </c>
      <c r="L636" s="2" t="str">
        <f t="shared" si="113"/>
        <v>3630331</v>
      </c>
      <c r="M636" s="2" t="str">
        <f>""</f>
        <v/>
      </c>
    </row>
    <row r="637" spans="1:13" x14ac:dyDescent="0.15">
      <c r="A637" s="2" t="str">
        <f t="shared" si="107"/>
        <v>1881110500</v>
      </c>
      <c r="B637" s="2" t="str">
        <f t="shared" si="108"/>
        <v>佐伯・区政調整</v>
      </c>
      <c r="C637" s="2" t="str">
        <f t="shared" si="104"/>
        <v>01ｲ00311</v>
      </c>
      <c r="D637" s="2" t="str">
        <f t="shared" si="105"/>
        <v>肘掛椅子</v>
      </c>
      <c r="E637" s="3" t="str">
        <f t="shared" si="110"/>
        <v>肘付</v>
      </c>
      <c r="F637" s="2" t="str">
        <f t="shared" si="111"/>
        <v>０００１</v>
      </c>
      <c r="G637" s="2" t="str">
        <f>"3620003729"</f>
        <v>3620003729</v>
      </c>
      <c r="H637" s="2" t="str">
        <f t="shared" si="106"/>
        <v>001</v>
      </c>
      <c r="I637" s="2" t="str">
        <f t="shared" si="112"/>
        <v>4100401</v>
      </c>
      <c r="J637" s="2">
        <f>31400</f>
        <v>31400</v>
      </c>
      <c r="K637" s="2" t="str">
        <f t="shared" si="109"/>
        <v>脚</v>
      </c>
      <c r="L637" s="2" t="str">
        <f t="shared" si="113"/>
        <v>3630331</v>
      </c>
      <c r="M637" s="2" t="str">
        <f>""</f>
        <v/>
      </c>
    </row>
    <row r="638" spans="1:13" x14ac:dyDescent="0.15">
      <c r="A638" s="2" t="str">
        <f t="shared" si="107"/>
        <v>1881110500</v>
      </c>
      <c r="B638" s="2" t="str">
        <f t="shared" si="108"/>
        <v>佐伯・区政調整</v>
      </c>
      <c r="C638" s="2" t="str">
        <f t="shared" si="104"/>
        <v>01ｲ00311</v>
      </c>
      <c r="D638" s="2" t="str">
        <f t="shared" si="105"/>
        <v>肘掛椅子</v>
      </c>
      <c r="E638" s="3" t="str">
        <f t="shared" si="110"/>
        <v>肘付</v>
      </c>
      <c r="F638" s="2" t="str">
        <f t="shared" si="111"/>
        <v>０００１</v>
      </c>
      <c r="G638" s="2" t="str">
        <f>"3620003730"</f>
        <v>3620003730</v>
      </c>
      <c r="H638" s="2" t="str">
        <f t="shared" si="106"/>
        <v>001</v>
      </c>
      <c r="I638" s="2" t="str">
        <f t="shared" si="112"/>
        <v>4100401</v>
      </c>
      <c r="J638" s="2">
        <f>31400</f>
        <v>31400</v>
      </c>
      <c r="K638" s="2" t="str">
        <f t="shared" si="109"/>
        <v>脚</v>
      </c>
      <c r="L638" s="2" t="str">
        <f t="shared" si="113"/>
        <v>3630331</v>
      </c>
      <c r="M638" s="2" t="str">
        <f>""</f>
        <v/>
      </c>
    </row>
    <row r="639" spans="1:13" x14ac:dyDescent="0.15">
      <c r="A639" s="2" t="str">
        <f t="shared" si="107"/>
        <v>1881110500</v>
      </c>
      <c r="B639" s="2" t="str">
        <f t="shared" si="108"/>
        <v>佐伯・区政調整</v>
      </c>
      <c r="C639" s="2" t="str">
        <f t="shared" si="104"/>
        <v>01ｲ00311</v>
      </c>
      <c r="D639" s="2" t="str">
        <f t="shared" si="105"/>
        <v>肘掛椅子</v>
      </c>
      <c r="E639" s="3" t="str">
        <f t="shared" si="110"/>
        <v>肘付</v>
      </c>
      <c r="F639" s="2" t="str">
        <f t="shared" si="111"/>
        <v>０００１</v>
      </c>
      <c r="G639" s="2" t="str">
        <f>"3620003731"</f>
        <v>3620003731</v>
      </c>
      <c r="H639" s="2" t="str">
        <f t="shared" si="106"/>
        <v>001</v>
      </c>
      <c r="I639" s="2" t="str">
        <f t="shared" si="112"/>
        <v>4100401</v>
      </c>
      <c r="J639" s="2">
        <f>31400</f>
        <v>31400</v>
      </c>
      <c r="K639" s="2" t="str">
        <f t="shared" si="109"/>
        <v>脚</v>
      </c>
      <c r="L639" s="2" t="str">
        <f t="shared" si="113"/>
        <v>3630331</v>
      </c>
      <c r="M639" s="2" t="str">
        <f>""</f>
        <v/>
      </c>
    </row>
    <row r="640" spans="1:13" x14ac:dyDescent="0.15">
      <c r="A640" s="2" t="str">
        <f t="shared" si="107"/>
        <v>1881110500</v>
      </c>
      <c r="B640" s="2" t="str">
        <f t="shared" si="108"/>
        <v>佐伯・区政調整</v>
      </c>
      <c r="C640" s="2" t="str">
        <f t="shared" si="104"/>
        <v>01ｲ00311</v>
      </c>
      <c r="D640" s="2" t="str">
        <f t="shared" si="105"/>
        <v>肘掛椅子</v>
      </c>
      <c r="E640" s="3" t="str">
        <f t="shared" si="110"/>
        <v>肘付</v>
      </c>
      <c r="F640" s="2" t="str">
        <f t="shared" si="111"/>
        <v>０００１</v>
      </c>
      <c r="G640" s="2" t="str">
        <f>"3620003732"</f>
        <v>3620003732</v>
      </c>
      <c r="H640" s="2" t="str">
        <f t="shared" si="106"/>
        <v>001</v>
      </c>
      <c r="I640" s="2" t="str">
        <f t="shared" si="112"/>
        <v>4100401</v>
      </c>
      <c r="J640" s="2">
        <f>31400</f>
        <v>31400</v>
      </c>
      <c r="K640" s="2" t="str">
        <f t="shared" si="109"/>
        <v>脚</v>
      </c>
      <c r="L640" s="2" t="str">
        <f t="shared" si="113"/>
        <v>3630331</v>
      </c>
      <c r="M640" s="2" t="str">
        <f>""</f>
        <v/>
      </c>
    </row>
    <row r="641" spans="1:13" x14ac:dyDescent="0.15">
      <c r="A641" s="2" t="str">
        <f t="shared" si="107"/>
        <v>1881110500</v>
      </c>
      <c r="B641" s="2" t="str">
        <f t="shared" si="108"/>
        <v>佐伯・区政調整</v>
      </c>
      <c r="C641" s="2" t="str">
        <f t="shared" si="104"/>
        <v>01ｲ00311</v>
      </c>
      <c r="D641" s="2" t="str">
        <f t="shared" si="105"/>
        <v>肘掛椅子</v>
      </c>
      <c r="E641" s="3" t="str">
        <f t="shared" si="110"/>
        <v>肘付</v>
      </c>
      <c r="F641" s="2" t="str">
        <f t="shared" si="111"/>
        <v>０００１</v>
      </c>
      <c r="G641" s="2" t="str">
        <f>"3620003733"</f>
        <v>3620003733</v>
      </c>
      <c r="H641" s="2" t="str">
        <f t="shared" si="106"/>
        <v>001</v>
      </c>
      <c r="I641" s="2" t="str">
        <f t="shared" si="112"/>
        <v>4100401</v>
      </c>
      <c r="J641" s="2">
        <f>31400</f>
        <v>31400</v>
      </c>
      <c r="K641" s="2" t="str">
        <f t="shared" si="109"/>
        <v>脚</v>
      </c>
      <c r="L641" s="2" t="str">
        <f t="shared" si="113"/>
        <v>3630331</v>
      </c>
      <c r="M641" s="2" t="str">
        <f>""</f>
        <v/>
      </c>
    </row>
    <row r="642" spans="1:13" x14ac:dyDescent="0.15">
      <c r="A642" s="2" t="str">
        <f t="shared" si="107"/>
        <v>1881110500</v>
      </c>
      <c r="B642" s="2" t="str">
        <f t="shared" si="108"/>
        <v>佐伯・区政調整</v>
      </c>
      <c r="C642" s="2" t="str">
        <f t="shared" si="104"/>
        <v>01ｲ00311</v>
      </c>
      <c r="D642" s="2" t="str">
        <f t="shared" si="105"/>
        <v>肘掛椅子</v>
      </c>
      <c r="E642" s="3" t="str">
        <f t="shared" si="110"/>
        <v>肘付</v>
      </c>
      <c r="F642" s="2" t="str">
        <f t="shared" si="111"/>
        <v>０００１</v>
      </c>
      <c r="G642" s="2" t="str">
        <f>"3620003734"</f>
        <v>3620003734</v>
      </c>
      <c r="H642" s="2" t="str">
        <f t="shared" si="106"/>
        <v>001</v>
      </c>
      <c r="I642" s="2" t="str">
        <f t="shared" si="112"/>
        <v>4100401</v>
      </c>
      <c r="J642" s="2">
        <f>31400</f>
        <v>31400</v>
      </c>
      <c r="K642" s="2" t="str">
        <f t="shared" si="109"/>
        <v>脚</v>
      </c>
      <c r="L642" s="2" t="str">
        <f t="shared" si="113"/>
        <v>3630331</v>
      </c>
      <c r="M642" s="2" t="str">
        <f>""</f>
        <v/>
      </c>
    </row>
    <row r="643" spans="1:13" x14ac:dyDescent="0.15">
      <c r="A643" s="2" t="str">
        <f t="shared" si="107"/>
        <v>1881110500</v>
      </c>
      <c r="B643" s="2" t="str">
        <f t="shared" si="108"/>
        <v>佐伯・区政調整</v>
      </c>
      <c r="C643" s="2" t="str">
        <f t="shared" si="104"/>
        <v>01ｲ00311</v>
      </c>
      <c r="D643" s="2" t="str">
        <f t="shared" si="105"/>
        <v>肘掛椅子</v>
      </c>
      <c r="E643" s="3" t="str">
        <f t="shared" si="110"/>
        <v>肘付</v>
      </c>
      <c r="F643" s="2" t="str">
        <f t="shared" si="111"/>
        <v>０００１</v>
      </c>
      <c r="G643" s="2" t="str">
        <f>"3620003735"</f>
        <v>3620003735</v>
      </c>
      <c r="H643" s="2" t="str">
        <f t="shared" si="106"/>
        <v>001</v>
      </c>
      <c r="I643" s="2" t="str">
        <f t="shared" si="112"/>
        <v>4100401</v>
      </c>
      <c r="J643" s="2">
        <f>31400</f>
        <v>31400</v>
      </c>
      <c r="K643" s="2" t="str">
        <f t="shared" si="109"/>
        <v>脚</v>
      </c>
      <c r="L643" s="2" t="str">
        <f t="shared" si="113"/>
        <v>3630331</v>
      </c>
      <c r="M643" s="2" t="str">
        <f>""</f>
        <v/>
      </c>
    </row>
    <row r="644" spans="1:13" x14ac:dyDescent="0.15">
      <c r="A644" s="2" t="str">
        <f t="shared" si="107"/>
        <v>1881110500</v>
      </c>
      <c r="B644" s="2" t="str">
        <f t="shared" si="108"/>
        <v>佐伯・区政調整</v>
      </c>
      <c r="C644" s="2" t="str">
        <f t="shared" si="104"/>
        <v>01ｲ00311</v>
      </c>
      <c r="D644" s="2" t="str">
        <f t="shared" si="105"/>
        <v>肘掛椅子</v>
      </c>
      <c r="E644" s="3" t="str">
        <f t="shared" si="110"/>
        <v>肘付</v>
      </c>
      <c r="F644" s="2" t="str">
        <f t="shared" si="111"/>
        <v>０００１</v>
      </c>
      <c r="G644" s="2" t="str">
        <f>"3620003736"</f>
        <v>3620003736</v>
      </c>
      <c r="H644" s="2" t="str">
        <f t="shared" si="106"/>
        <v>001</v>
      </c>
      <c r="I644" s="2" t="str">
        <f t="shared" si="112"/>
        <v>4100401</v>
      </c>
      <c r="J644" s="2">
        <f>31400</f>
        <v>31400</v>
      </c>
      <c r="K644" s="2" t="str">
        <f t="shared" si="109"/>
        <v>脚</v>
      </c>
      <c r="L644" s="2" t="str">
        <f t="shared" si="113"/>
        <v>3630331</v>
      </c>
      <c r="M644" s="2" t="str">
        <f>""</f>
        <v/>
      </c>
    </row>
    <row r="645" spans="1:13" x14ac:dyDescent="0.15">
      <c r="A645" s="2" t="str">
        <f t="shared" si="107"/>
        <v>1881110500</v>
      </c>
      <c r="B645" s="2" t="str">
        <f t="shared" si="108"/>
        <v>佐伯・区政調整</v>
      </c>
      <c r="C645" s="2" t="str">
        <f t="shared" si="104"/>
        <v>01ｲ00311</v>
      </c>
      <c r="D645" s="2" t="str">
        <f t="shared" si="105"/>
        <v>肘掛椅子</v>
      </c>
      <c r="E645" s="3" t="str">
        <f t="shared" si="110"/>
        <v>肘付</v>
      </c>
      <c r="F645" s="2" t="str">
        <f t="shared" si="111"/>
        <v>０００１</v>
      </c>
      <c r="G645" s="2" t="str">
        <f>"3620003737"</f>
        <v>3620003737</v>
      </c>
      <c r="H645" s="2" t="str">
        <f t="shared" si="106"/>
        <v>001</v>
      </c>
      <c r="I645" s="2" t="str">
        <f t="shared" si="112"/>
        <v>4100401</v>
      </c>
      <c r="J645" s="2">
        <f>31400</f>
        <v>31400</v>
      </c>
      <c r="K645" s="2" t="str">
        <f t="shared" si="109"/>
        <v>脚</v>
      </c>
      <c r="L645" s="2" t="str">
        <f t="shared" si="113"/>
        <v>3630331</v>
      </c>
      <c r="M645" s="2" t="str">
        <f>""</f>
        <v/>
      </c>
    </row>
    <row r="646" spans="1:13" x14ac:dyDescent="0.15">
      <c r="A646" s="2" t="str">
        <f t="shared" si="107"/>
        <v>1881110500</v>
      </c>
      <c r="B646" s="2" t="str">
        <f t="shared" si="108"/>
        <v>佐伯・区政調整</v>
      </c>
      <c r="C646" s="2" t="str">
        <f t="shared" si="104"/>
        <v>01ｲ00311</v>
      </c>
      <c r="D646" s="2" t="str">
        <f t="shared" si="105"/>
        <v>肘掛椅子</v>
      </c>
      <c r="E646" s="3" t="str">
        <f t="shared" si="110"/>
        <v>肘付</v>
      </c>
      <c r="F646" s="2" t="str">
        <f t="shared" si="111"/>
        <v>０００１</v>
      </c>
      <c r="G646" s="2" t="str">
        <f>"3620003738"</f>
        <v>3620003738</v>
      </c>
      <c r="H646" s="2" t="str">
        <f t="shared" si="106"/>
        <v>001</v>
      </c>
      <c r="I646" s="2" t="str">
        <f t="shared" si="112"/>
        <v>4100401</v>
      </c>
      <c r="J646" s="2">
        <f>31400</f>
        <v>31400</v>
      </c>
      <c r="K646" s="2" t="str">
        <f t="shared" si="109"/>
        <v>脚</v>
      </c>
      <c r="L646" s="2" t="str">
        <f t="shared" si="113"/>
        <v>3630331</v>
      </c>
      <c r="M646" s="2" t="str">
        <f>""</f>
        <v/>
      </c>
    </row>
    <row r="647" spans="1:13" x14ac:dyDescent="0.15">
      <c r="A647" s="2" t="str">
        <f t="shared" si="107"/>
        <v>1881110500</v>
      </c>
      <c r="B647" s="2" t="str">
        <f t="shared" si="108"/>
        <v>佐伯・区政調整</v>
      </c>
      <c r="C647" s="2" t="str">
        <f t="shared" si="104"/>
        <v>01ｲ00311</v>
      </c>
      <c r="D647" s="2" t="str">
        <f t="shared" si="105"/>
        <v>肘掛椅子</v>
      </c>
      <c r="E647" s="3" t="str">
        <f t="shared" si="110"/>
        <v>肘付</v>
      </c>
      <c r="F647" s="2" t="str">
        <f t="shared" si="111"/>
        <v>０００１</v>
      </c>
      <c r="G647" s="2" t="str">
        <f>"3620003739"</f>
        <v>3620003739</v>
      </c>
      <c r="H647" s="2" t="str">
        <f t="shared" si="106"/>
        <v>001</v>
      </c>
      <c r="I647" s="2" t="str">
        <f t="shared" si="112"/>
        <v>4100401</v>
      </c>
      <c r="J647" s="2">
        <f>31400</f>
        <v>31400</v>
      </c>
      <c r="K647" s="2" t="str">
        <f t="shared" si="109"/>
        <v>脚</v>
      </c>
      <c r="L647" s="2" t="str">
        <f t="shared" si="113"/>
        <v>3630331</v>
      </c>
      <c r="M647" s="2" t="str">
        <f>""</f>
        <v/>
      </c>
    </row>
    <row r="648" spans="1:13" x14ac:dyDescent="0.15">
      <c r="A648" s="2" t="str">
        <f t="shared" si="107"/>
        <v>1881110500</v>
      </c>
      <c r="B648" s="2" t="str">
        <f t="shared" si="108"/>
        <v>佐伯・区政調整</v>
      </c>
      <c r="C648" s="2" t="str">
        <f t="shared" si="104"/>
        <v>01ｲ00311</v>
      </c>
      <c r="D648" s="2" t="str">
        <f t="shared" si="105"/>
        <v>肘掛椅子</v>
      </c>
      <c r="E648" s="3" t="str">
        <f t="shared" si="110"/>
        <v>肘付</v>
      </c>
      <c r="F648" s="2" t="str">
        <f t="shared" si="111"/>
        <v>０００１</v>
      </c>
      <c r="G648" s="2" t="str">
        <f>"3620003740"</f>
        <v>3620003740</v>
      </c>
      <c r="H648" s="2" t="str">
        <f t="shared" si="106"/>
        <v>001</v>
      </c>
      <c r="I648" s="2" t="str">
        <f t="shared" si="112"/>
        <v>4100401</v>
      </c>
      <c r="J648" s="2">
        <f>31400</f>
        <v>31400</v>
      </c>
      <c r="K648" s="2" t="str">
        <f t="shared" si="109"/>
        <v>脚</v>
      </c>
      <c r="L648" s="2" t="str">
        <f t="shared" si="113"/>
        <v>3630331</v>
      </c>
      <c r="M648" s="2" t="str">
        <f>""</f>
        <v/>
      </c>
    </row>
    <row r="649" spans="1:13" x14ac:dyDescent="0.15">
      <c r="A649" s="2" t="str">
        <f t="shared" si="107"/>
        <v>1881110500</v>
      </c>
      <c r="B649" s="2" t="str">
        <f t="shared" si="108"/>
        <v>佐伯・区政調整</v>
      </c>
      <c r="C649" s="2" t="str">
        <f t="shared" si="104"/>
        <v>01ｲ00311</v>
      </c>
      <c r="D649" s="2" t="str">
        <f t="shared" si="105"/>
        <v>肘掛椅子</v>
      </c>
      <c r="E649" s="3" t="str">
        <f t="shared" si="110"/>
        <v>肘付</v>
      </c>
      <c r="F649" s="2" t="str">
        <f t="shared" si="111"/>
        <v>０００１</v>
      </c>
      <c r="G649" s="2" t="str">
        <f>"3620003741"</f>
        <v>3620003741</v>
      </c>
      <c r="H649" s="2" t="str">
        <f t="shared" si="106"/>
        <v>001</v>
      </c>
      <c r="I649" s="2" t="str">
        <f t="shared" si="112"/>
        <v>4100401</v>
      </c>
      <c r="J649" s="2">
        <f>31400</f>
        <v>31400</v>
      </c>
      <c r="K649" s="2" t="str">
        <f t="shared" si="109"/>
        <v>脚</v>
      </c>
      <c r="L649" s="2" t="str">
        <f t="shared" si="113"/>
        <v>3630331</v>
      </c>
      <c r="M649" s="2" t="str">
        <f>""</f>
        <v/>
      </c>
    </row>
    <row r="650" spans="1:13" x14ac:dyDescent="0.15">
      <c r="A650" s="2" t="str">
        <f t="shared" si="107"/>
        <v>1881110500</v>
      </c>
      <c r="B650" s="2" t="str">
        <f t="shared" si="108"/>
        <v>佐伯・区政調整</v>
      </c>
      <c r="C650" s="2" t="str">
        <f t="shared" ref="C650:C713" si="114">"01ｲ00311"</f>
        <v>01ｲ00311</v>
      </c>
      <c r="D650" s="2" t="str">
        <f t="shared" ref="D650:D713" si="115">"肘掛椅子"</f>
        <v>肘掛椅子</v>
      </c>
      <c r="E650" s="3" t="str">
        <f t="shared" si="110"/>
        <v>肘付</v>
      </c>
      <c r="F650" s="2" t="str">
        <f t="shared" si="111"/>
        <v>０００１</v>
      </c>
      <c r="G650" s="2" t="str">
        <f>"3620003742"</f>
        <v>3620003742</v>
      </c>
      <c r="H650" s="2" t="str">
        <f t="shared" ref="H650:H713" si="116">"001"</f>
        <v>001</v>
      </c>
      <c r="I650" s="2" t="str">
        <f t="shared" si="112"/>
        <v>4100401</v>
      </c>
      <c r="J650" s="2">
        <f>31400</f>
        <v>31400</v>
      </c>
      <c r="K650" s="2" t="str">
        <f t="shared" si="109"/>
        <v>脚</v>
      </c>
      <c r="L650" s="2" t="str">
        <f t="shared" si="113"/>
        <v>3630331</v>
      </c>
      <c r="M650" s="2" t="str">
        <f>""</f>
        <v/>
      </c>
    </row>
    <row r="651" spans="1:13" x14ac:dyDescent="0.15">
      <c r="A651" s="2" t="str">
        <f t="shared" si="107"/>
        <v>1881110500</v>
      </c>
      <c r="B651" s="2" t="str">
        <f t="shared" si="108"/>
        <v>佐伯・区政調整</v>
      </c>
      <c r="C651" s="2" t="str">
        <f t="shared" si="114"/>
        <v>01ｲ00311</v>
      </c>
      <c r="D651" s="2" t="str">
        <f t="shared" si="115"/>
        <v>肘掛椅子</v>
      </c>
      <c r="E651" s="3" t="str">
        <f t="shared" si="110"/>
        <v>肘付</v>
      </c>
      <c r="F651" s="2" t="str">
        <f t="shared" si="111"/>
        <v>０００１</v>
      </c>
      <c r="G651" s="2" t="str">
        <f>"3620003743"</f>
        <v>3620003743</v>
      </c>
      <c r="H651" s="2" t="str">
        <f t="shared" si="116"/>
        <v>001</v>
      </c>
      <c r="I651" s="2" t="str">
        <f t="shared" si="112"/>
        <v>4100401</v>
      </c>
      <c r="J651" s="2">
        <f>31400</f>
        <v>31400</v>
      </c>
      <c r="K651" s="2" t="str">
        <f t="shared" si="109"/>
        <v>脚</v>
      </c>
      <c r="L651" s="2" t="str">
        <f t="shared" si="113"/>
        <v>3630331</v>
      </c>
      <c r="M651" s="2" t="str">
        <f>""</f>
        <v/>
      </c>
    </row>
    <row r="652" spans="1:13" x14ac:dyDescent="0.15">
      <c r="A652" s="2" t="str">
        <f t="shared" si="107"/>
        <v>1881110500</v>
      </c>
      <c r="B652" s="2" t="str">
        <f t="shared" si="108"/>
        <v>佐伯・区政調整</v>
      </c>
      <c r="C652" s="2" t="str">
        <f t="shared" si="114"/>
        <v>01ｲ00311</v>
      </c>
      <c r="D652" s="2" t="str">
        <f t="shared" si="115"/>
        <v>肘掛椅子</v>
      </c>
      <c r="E652" s="3" t="str">
        <f t="shared" si="110"/>
        <v>肘付</v>
      </c>
      <c r="F652" s="2" t="str">
        <f t="shared" si="111"/>
        <v>０００１</v>
      </c>
      <c r="G652" s="2" t="str">
        <f>"3620003744"</f>
        <v>3620003744</v>
      </c>
      <c r="H652" s="2" t="str">
        <f t="shared" si="116"/>
        <v>001</v>
      </c>
      <c r="I652" s="2" t="str">
        <f t="shared" si="112"/>
        <v>4100401</v>
      </c>
      <c r="J652" s="2">
        <f>31400</f>
        <v>31400</v>
      </c>
      <c r="K652" s="2" t="str">
        <f t="shared" si="109"/>
        <v>脚</v>
      </c>
      <c r="L652" s="2" t="str">
        <f t="shared" si="113"/>
        <v>3630331</v>
      </c>
      <c r="M652" s="2" t="str">
        <f>""</f>
        <v/>
      </c>
    </row>
    <row r="653" spans="1:13" x14ac:dyDescent="0.15">
      <c r="A653" s="2" t="str">
        <f t="shared" si="107"/>
        <v>1881110500</v>
      </c>
      <c r="B653" s="2" t="str">
        <f t="shared" si="108"/>
        <v>佐伯・区政調整</v>
      </c>
      <c r="C653" s="2" t="str">
        <f t="shared" si="114"/>
        <v>01ｲ00311</v>
      </c>
      <c r="D653" s="2" t="str">
        <f t="shared" si="115"/>
        <v>肘掛椅子</v>
      </c>
      <c r="E653" s="3" t="str">
        <f t="shared" si="110"/>
        <v>肘付</v>
      </c>
      <c r="F653" s="2" t="str">
        <f t="shared" si="111"/>
        <v>０００１</v>
      </c>
      <c r="G653" s="2" t="str">
        <f>"3620003745"</f>
        <v>3620003745</v>
      </c>
      <c r="H653" s="2" t="str">
        <f t="shared" si="116"/>
        <v>001</v>
      </c>
      <c r="I653" s="2" t="str">
        <f t="shared" si="112"/>
        <v>4100401</v>
      </c>
      <c r="J653" s="2">
        <f>31400</f>
        <v>31400</v>
      </c>
      <c r="K653" s="2" t="str">
        <f t="shared" si="109"/>
        <v>脚</v>
      </c>
      <c r="L653" s="2" t="str">
        <f t="shared" si="113"/>
        <v>3630331</v>
      </c>
      <c r="M653" s="2" t="str">
        <f>""</f>
        <v/>
      </c>
    </row>
    <row r="654" spans="1:13" x14ac:dyDescent="0.15">
      <c r="A654" s="2" t="str">
        <f t="shared" si="107"/>
        <v>1881110500</v>
      </c>
      <c r="B654" s="2" t="str">
        <f t="shared" si="108"/>
        <v>佐伯・区政調整</v>
      </c>
      <c r="C654" s="2" t="str">
        <f t="shared" si="114"/>
        <v>01ｲ00311</v>
      </c>
      <c r="D654" s="2" t="str">
        <f t="shared" si="115"/>
        <v>肘掛椅子</v>
      </c>
      <c r="E654" s="3" t="str">
        <f t="shared" si="110"/>
        <v>肘付</v>
      </c>
      <c r="F654" s="2" t="str">
        <f t="shared" si="111"/>
        <v>０００１</v>
      </c>
      <c r="G654" s="2" t="str">
        <f>"3620003746"</f>
        <v>3620003746</v>
      </c>
      <c r="H654" s="2" t="str">
        <f t="shared" si="116"/>
        <v>001</v>
      </c>
      <c r="I654" s="2" t="str">
        <f t="shared" si="112"/>
        <v>4100401</v>
      </c>
      <c r="J654" s="2">
        <f>31400</f>
        <v>31400</v>
      </c>
      <c r="K654" s="2" t="str">
        <f t="shared" si="109"/>
        <v>脚</v>
      </c>
      <c r="L654" s="2" t="str">
        <f t="shared" si="113"/>
        <v>3630331</v>
      </c>
      <c r="M654" s="2" t="str">
        <f>""</f>
        <v/>
      </c>
    </row>
    <row r="655" spans="1:13" x14ac:dyDescent="0.15">
      <c r="A655" s="2" t="str">
        <f t="shared" si="107"/>
        <v>1881110500</v>
      </c>
      <c r="B655" s="2" t="str">
        <f t="shared" si="108"/>
        <v>佐伯・区政調整</v>
      </c>
      <c r="C655" s="2" t="str">
        <f t="shared" si="114"/>
        <v>01ｲ00311</v>
      </c>
      <c r="D655" s="2" t="str">
        <f t="shared" si="115"/>
        <v>肘掛椅子</v>
      </c>
      <c r="E655" s="3" t="str">
        <f t="shared" si="110"/>
        <v>肘付</v>
      </c>
      <c r="F655" s="2" t="str">
        <f t="shared" si="111"/>
        <v>０００１</v>
      </c>
      <c r="G655" s="2" t="str">
        <f>"3620003747"</f>
        <v>3620003747</v>
      </c>
      <c r="H655" s="2" t="str">
        <f t="shared" si="116"/>
        <v>001</v>
      </c>
      <c r="I655" s="2" t="str">
        <f t="shared" si="112"/>
        <v>4100401</v>
      </c>
      <c r="J655" s="2">
        <f>31400</f>
        <v>31400</v>
      </c>
      <c r="K655" s="2" t="str">
        <f t="shared" si="109"/>
        <v>脚</v>
      </c>
      <c r="L655" s="2" t="str">
        <f t="shared" si="113"/>
        <v>3630331</v>
      </c>
      <c r="M655" s="2" t="str">
        <f>""</f>
        <v/>
      </c>
    </row>
    <row r="656" spans="1:13" x14ac:dyDescent="0.15">
      <c r="A656" s="2" t="str">
        <f t="shared" si="107"/>
        <v>1881110500</v>
      </c>
      <c r="B656" s="2" t="str">
        <f t="shared" si="108"/>
        <v>佐伯・区政調整</v>
      </c>
      <c r="C656" s="2" t="str">
        <f t="shared" si="114"/>
        <v>01ｲ00311</v>
      </c>
      <c r="D656" s="2" t="str">
        <f t="shared" si="115"/>
        <v>肘掛椅子</v>
      </c>
      <c r="E656" s="3" t="str">
        <f t="shared" si="110"/>
        <v>肘付</v>
      </c>
      <c r="F656" s="2" t="str">
        <f t="shared" si="111"/>
        <v>０００１</v>
      </c>
      <c r="G656" s="2" t="str">
        <f>"3620003748"</f>
        <v>3620003748</v>
      </c>
      <c r="H656" s="2" t="str">
        <f t="shared" si="116"/>
        <v>001</v>
      </c>
      <c r="I656" s="2" t="str">
        <f t="shared" si="112"/>
        <v>4100401</v>
      </c>
      <c r="J656" s="2">
        <f>31400</f>
        <v>31400</v>
      </c>
      <c r="K656" s="2" t="str">
        <f t="shared" si="109"/>
        <v>脚</v>
      </c>
      <c r="L656" s="2" t="str">
        <f t="shared" si="113"/>
        <v>3630331</v>
      </c>
      <c r="M656" s="2" t="str">
        <f>""</f>
        <v/>
      </c>
    </row>
    <row r="657" spans="1:13" x14ac:dyDescent="0.15">
      <c r="A657" s="2" t="str">
        <f t="shared" si="107"/>
        <v>1881110500</v>
      </c>
      <c r="B657" s="2" t="str">
        <f t="shared" si="108"/>
        <v>佐伯・区政調整</v>
      </c>
      <c r="C657" s="2" t="str">
        <f t="shared" si="114"/>
        <v>01ｲ00311</v>
      </c>
      <c r="D657" s="2" t="str">
        <f t="shared" si="115"/>
        <v>肘掛椅子</v>
      </c>
      <c r="E657" s="3" t="str">
        <f t="shared" si="110"/>
        <v>肘付</v>
      </c>
      <c r="F657" s="2" t="str">
        <f t="shared" si="111"/>
        <v>０００１</v>
      </c>
      <c r="G657" s="2" t="str">
        <f>"3620003749"</f>
        <v>3620003749</v>
      </c>
      <c r="H657" s="2" t="str">
        <f t="shared" si="116"/>
        <v>001</v>
      </c>
      <c r="I657" s="2" t="str">
        <f t="shared" si="112"/>
        <v>4100401</v>
      </c>
      <c r="J657" s="2">
        <f>31400</f>
        <v>31400</v>
      </c>
      <c r="K657" s="2" t="str">
        <f t="shared" si="109"/>
        <v>脚</v>
      </c>
      <c r="L657" s="2" t="str">
        <f t="shared" si="113"/>
        <v>3630331</v>
      </c>
      <c r="M657" s="2" t="str">
        <f>""</f>
        <v/>
      </c>
    </row>
    <row r="658" spans="1:13" x14ac:dyDescent="0.15">
      <c r="A658" s="2" t="str">
        <f t="shared" si="107"/>
        <v>1881110500</v>
      </c>
      <c r="B658" s="2" t="str">
        <f t="shared" si="108"/>
        <v>佐伯・区政調整</v>
      </c>
      <c r="C658" s="2" t="str">
        <f t="shared" si="114"/>
        <v>01ｲ00311</v>
      </c>
      <c r="D658" s="2" t="str">
        <f t="shared" si="115"/>
        <v>肘掛椅子</v>
      </c>
      <c r="E658" s="3" t="str">
        <f t="shared" si="110"/>
        <v>肘付</v>
      </c>
      <c r="F658" s="2" t="str">
        <f t="shared" si="111"/>
        <v>０００１</v>
      </c>
      <c r="G658" s="2" t="str">
        <f>"3620003750"</f>
        <v>3620003750</v>
      </c>
      <c r="H658" s="2" t="str">
        <f t="shared" si="116"/>
        <v>001</v>
      </c>
      <c r="I658" s="2" t="str">
        <f t="shared" si="112"/>
        <v>4100401</v>
      </c>
      <c r="J658" s="2">
        <f>31400</f>
        <v>31400</v>
      </c>
      <c r="K658" s="2" t="str">
        <f t="shared" si="109"/>
        <v>脚</v>
      </c>
      <c r="L658" s="2" t="str">
        <f t="shared" si="113"/>
        <v>3630331</v>
      </c>
      <c r="M658" s="2" t="str">
        <f>""</f>
        <v/>
      </c>
    </row>
    <row r="659" spans="1:13" x14ac:dyDescent="0.15">
      <c r="A659" s="2" t="str">
        <f t="shared" si="107"/>
        <v>1881110500</v>
      </c>
      <c r="B659" s="2" t="str">
        <f t="shared" si="108"/>
        <v>佐伯・区政調整</v>
      </c>
      <c r="C659" s="2" t="str">
        <f t="shared" si="114"/>
        <v>01ｲ00311</v>
      </c>
      <c r="D659" s="2" t="str">
        <f t="shared" si="115"/>
        <v>肘掛椅子</v>
      </c>
      <c r="E659" s="3" t="str">
        <f t="shared" si="110"/>
        <v>肘付</v>
      </c>
      <c r="F659" s="2" t="str">
        <f t="shared" si="111"/>
        <v>０００１</v>
      </c>
      <c r="G659" s="2" t="str">
        <f>"3620003751"</f>
        <v>3620003751</v>
      </c>
      <c r="H659" s="2" t="str">
        <f t="shared" si="116"/>
        <v>001</v>
      </c>
      <c r="I659" s="2" t="str">
        <f t="shared" si="112"/>
        <v>4100401</v>
      </c>
      <c r="J659" s="2">
        <f>31400</f>
        <v>31400</v>
      </c>
      <c r="K659" s="2" t="str">
        <f t="shared" si="109"/>
        <v>脚</v>
      </c>
      <c r="L659" s="2" t="str">
        <f t="shared" si="113"/>
        <v>3630331</v>
      </c>
      <c r="M659" s="2" t="str">
        <f>""</f>
        <v/>
      </c>
    </row>
    <row r="660" spans="1:13" x14ac:dyDescent="0.15">
      <c r="A660" s="2" t="str">
        <f t="shared" si="107"/>
        <v>1881110500</v>
      </c>
      <c r="B660" s="2" t="str">
        <f t="shared" si="108"/>
        <v>佐伯・区政調整</v>
      </c>
      <c r="C660" s="2" t="str">
        <f t="shared" si="114"/>
        <v>01ｲ00311</v>
      </c>
      <c r="D660" s="2" t="str">
        <f t="shared" si="115"/>
        <v>肘掛椅子</v>
      </c>
      <c r="E660" s="3" t="str">
        <f t="shared" si="110"/>
        <v>肘付</v>
      </c>
      <c r="F660" s="2" t="str">
        <f t="shared" si="111"/>
        <v>０００１</v>
      </c>
      <c r="G660" s="2" t="str">
        <f>"3620003752"</f>
        <v>3620003752</v>
      </c>
      <c r="H660" s="2" t="str">
        <f t="shared" si="116"/>
        <v>001</v>
      </c>
      <c r="I660" s="2" t="str">
        <f t="shared" si="112"/>
        <v>4100401</v>
      </c>
      <c r="J660" s="2">
        <f>31400</f>
        <v>31400</v>
      </c>
      <c r="K660" s="2" t="str">
        <f t="shared" si="109"/>
        <v>脚</v>
      </c>
      <c r="L660" s="2" t="str">
        <f t="shared" si="113"/>
        <v>3630331</v>
      </c>
      <c r="M660" s="2" t="str">
        <f>""</f>
        <v/>
      </c>
    </row>
    <row r="661" spans="1:13" x14ac:dyDescent="0.15">
      <c r="A661" s="2" t="str">
        <f t="shared" si="107"/>
        <v>1881110500</v>
      </c>
      <c r="B661" s="2" t="str">
        <f t="shared" si="108"/>
        <v>佐伯・区政調整</v>
      </c>
      <c r="C661" s="2" t="str">
        <f t="shared" si="114"/>
        <v>01ｲ00311</v>
      </c>
      <c r="D661" s="2" t="str">
        <f t="shared" si="115"/>
        <v>肘掛椅子</v>
      </c>
      <c r="E661" s="3" t="str">
        <f t="shared" si="110"/>
        <v>肘付</v>
      </c>
      <c r="F661" s="2" t="str">
        <f t="shared" si="111"/>
        <v>０００１</v>
      </c>
      <c r="G661" s="2" t="str">
        <f>"3620003753"</f>
        <v>3620003753</v>
      </c>
      <c r="H661" s="2" t="str">
        <f t="shared" si="116"/>
        <v>001</v>
      </c>
      <c r="I661" s="2" t="str">
        <f t="shared" si="112"/>
        <v>4100401</v>
      </c>
      <c r="J661" s="2">
        <f>31400</f>
        <v>31400</v>
      </c>
      <c r="K661" s="2" t="str">
        <f t="shared" si="109"/>
        <v>脚</v>
      </c>
      <c r="L661" s="2" t="str">
        <f t="shared" si="113"/>
        <v>3630331</v>
      </c>
      <c r="M661" s="2" t="str">
        <f>""</f>
        <v/>
      </c>
    </row>
    <row r="662" spans="1:13" x14ac:dyDescent="0.15">
      <c r="A662" s="2" t="str">
        <f t="shared" si="107"/>
        <v>1881110500</v>
      </c>
      <c r="B662" s="2" t="str">
        <f t="shared" si="108"/>
        <v>佐伯・区政調整</v>
      </c>
      <c r="C662" s="2" t="str">
        <f t="shared" si="114"/>
        <v>01ｲ00311</v>
      </c>
      <c r="D662" s="2" t="str">
        <f t="shared" si="115"/>
        <v>肘掛椅子</v>
      </c>
      <c r="E662" s="3" t="str">
        <f t="shared" si="110"/>
        <v>肘付</v>
      </c>
      <c r="F662" s="2" t="str">
        <f t="shared" si="111"/>
        <v>０００１</v>
      </c>
      <c r="G662" s="2" t="str">
        <f>"3620003754"</f>
        <v>3620003754</v>
      </c>
      <c r="H662" s="2" t="str">
        <f t="shared" si="116"/>
        <v>001</v>
      </c>
      <c r="I662" s="2" t="str">
        <f t="shared" si="112"/>
        <v>4100401</v>
      </c>
      <c r="J662" s="2">
        <f>31400</f>
        <v>31400</v>
      </c>
      <c r="K662" s="2" t="str">
        <f t="shared" si="109"/>
        <v>脚</v>
      </c>
      <c r="L662" s="2" t="str">
        <f t="shared" si="113"/>
        <v>3630331</v>
      </c>
      <c r="M662" s="2" t="str">
        <f>""</f>
        <v/>
      </c>
    </row>
    <row r="663" spans="1:13" x14ac:dyDescent="0.15">
      <c r="A663" s="2" t="str">
        <f t="shared" si="107"/>
        <v>1881110500</v>
      </c>
      <c r="B663" s="2" t="str">
        <f t="shared" si="108"/>
        <v>佐伯・区政調整</v>
      </c>
      <c r="C663" s="2" t="str">
        <f t="shared" si="114"/>
        <v>01ｲ00311</v>
      </c>
      <c r="D663" s="2" t="str">
        <f t="shared" si="115"/>
        <v>肘掛椅子</v>
      </c>
      <c r="E663" s="3" t="str">
        <f t="shared" si="110"/>
        <v>肘付</v>
      </c>
      <c r="F663" s="2" t="str">
        <f t="shared" si="111"/>
        <v>０００１</v>
      </c>
      <c r="G663" s="2" t="str">
        <f>"3620003755"</f>
        <v>3620003755</v>
      </c>
      <c r="H663" s="2" t="str">
        <f t="shared" si="116"/>
        <v>001</v>
      </c>
      <c r="I663" s="2" t="str">
        <f t="shared" si="112"/>
        <v>4100401</v>
      </c>
      <c r="J663" s="2">
        <f>31400</f>
        <v>31400</v>
      </c>
      <c r="K663" s="2" t="str">
        <f t="shared" si="109"/>
        <v>脚</v>
      </c>
      <c r="L663" s="2" t="str">
        <f t="shared" si="113"/>
        <v>3630331</v>
      </c>
      <c r="M663" s="2" t="str">
        <f>""</f>
        <v/>
      </c>
    </row>
    <row r="664" spans="1:13" x14ac:dyDescent="0.15">
      <c r="A664" s="2" t="str">
        <f t="shared" si="107"/>
        <v>1881110500</v>
      </c>
      <c r="B664" s="2" t="str">
        <f t="shared" si="108"/>
        <v>佐伯・区政調整</v>
      </c>
      <c r="C664" s="2" t="str">
        <f t="shared" si="114"/>
        <v>01ｲ00311</v>
      </c>
      <c r="D664" s="2" t="str">
        <f t="shared" si="115"/>
        <v>肘掛椅子</v>
      </c>
      <c r="E664" s="3" t="str">
        <f t="shared" si="110"/>
        <v>肘付</v>
      </c>
      <c r="F664" s="2" t="str">
        <f t="shared" si="111"/>
        <v>０００１</v>
      </c>
      <c r="G664" s="2" t="str">
        <f>"3620003756"</f>
        <v>3620003756</v>
      </c>
      <c r="H664" s="2" t="str">
        <f t="shared" si="116"/>
        <v>001</v>
      </c>
      <c r="I664" s="2" t="str">
        <f t="shared" si="112"/>
        <v>4100401</v>
      </c>
      <c r="J664" s="2">
        <f>31400</f>
        <v>31400</v>
      </c>
      <c r="K664" s="2" t="str">
        <f t="shared" si="109"/>
        <v>脚</v>
      </c>
      <c r="L664" s="2" t="str">
        <f t="shared" si="113"/>
        <v>3630331</v>
      </c>
      <c r="M664" s="2" t="str">
        <f>""</f>
        <v/>
      </c>
    </row>
    <row r="665" spans="1:13" x14ac:dyDescent="0.15">
      <c r="A665" s="2" t="str">
        <f t="shared" si="107"/>
        <v>1881110500</v>
      </c>
      <c r="B665" s="2" t="str">
        <f t="shared" si="108"/>
        <v>佐伯・区政調整</v>
      </c>
      <c r="C665" s="2" t="str">
        <f t="shared" si="114"/>
        <v>01ｲ00311</v>
      </c>
      <c r="D665" s="2" t="str">
        <f t="shared" si="115"/>
        <v>肘掛椅子</v>
      </c>
      <c r="E665" s="3" t="str">
        <f t="shared" si="110"/>
        <v>肘付</v>
      </c>
      <c r="F665" s="2" t="str">
        <f t="shared" si="111"/>
        <v>０００１</v>
      </c>
      <c r="G665" s="2" t="str">
        <f>"3620003757"</f>
        <v>3620003757</v>
      </c>
      <c r="H665" s="2" t="str">
        <f t="shared" si="116"/>
        <v>001</v>
      </c>
      <c r="I665" s="2" t="str">
        <f t="shared" si="112"/>
        <v>4100401</v>
      </c>
      <c r="J665" s="2">
        <f>31400</f>
        <v>31400</v>
      </c>
      <c r="K665" s="2" t="str">
        <f t="shared" si="109"/>
        <v>脚</v>
      </c>
      <c r="L665" s="2" t="str">
        <f t="shared" si="113"/>
        <v>3630331</v>
      </c>
      <c r="M665" s="2" t="str">
        <f>""</f>
        <v/>
      </c>
    </row>
    <row r="666" spans="1:13" x14ac:dyDescent="0.15">
      <c r="A666" s="2" t="str">
        <f t="shared" ref="A666:A729" si="117">"1881110500"</f>
        <v>1881110500</v>
      </c>
      <c r="B666" s="2" t="str">
        <f t="shared" ref="B666:B729" si="118">"佐伯・区政調整"</f>
        <v>佐伯・区政調整</v>
      </c>
      <c r="C666" s="2" t="str">
        <f t="shared" si="114"/>
        <v>01ｲ00311</v>
      </c>
      <c r="D666" s="2" t="str">
        <f t="shared" si="115"/>
        <v>肘掛椅子</v>
      </c>
      <c r="E666" s="3" t="str">
        <f t="shared" si="110"/>
        <v>肘付</v>
      </c>
      <c r="F666" s="2" t="str">
        <f t="shared" si="111"/>
        <v>０００１</v>
      </c>
      <c r="G666" s="2" t="str">
        <f>"3620003758"</f>
        <v>3620003758</v>
      </c>
      <c r="H666" s="2" t="str">
        <f t="shared" si="116"/>
        <v>001</v>
      </c>
      <c r="I666" s="2" t="str">
        <f t="shared" si="112"/>
        <v>4100401</v>
      </c>
      <c r="J666" s="2">
        <f>31400</f>
        <v>31400</v>
      </c>
      <c r="K666" s="2" t="str">
        <f t="shared" ref="K666:K729" si="119">"脚"</f>
        <v>脚</v>
      </c>
      <c r="L666" s="2" t="str">
        <f t="shared" si="113"/>
        <v>3630331</v>
      </c>
      <c r="M666" s="2" t="str">
        <f>""</f>
        <v/>
      </c>
    </row>
    <row r="667" spans="1:13" x14ac:dyDescent="0.15">
      <c r="A667" s="2" t="str">
        <f t="shared" si="117"/>
        <v>1881110500</v>
      </c>
      <c r="B667" s="2" t="str">
        <f t="shared" si="118"/>
        <v>佐伯・区政調整</v>
      </c>
      <c r="C667" s="2" t="str">
        <f t="shared" si="114"/>
        <v>01ｲ00311</v>
      </c>
      <c r="D667" s="2" t="str">
        <f t="shared" si="115"/>
        <v>肘掛椅子</v>
      </c>
      <c r="E667" s="3" t="str">
        <f t="shared" si="110"/>
        <v>肘付</v>
      </c>
      <c r="F667" s="2" t="str">
        <f t="shared" si="111"/>
        <v>０００１</v>
      </c>
      <c r="G667" s="2" t="str">
        <f>"3620003759"</f>
        <v>3620003759</v>
      </c>
      <c r="H667" s="2" t="str">
        <f t="shared" si="116"/>
        <v>001</v>
      </c>
      <c r="I667" s="2" t="str">
        <f t="shared" si="112"/>
        <v>4100401</v>
      </c>
      <c r="J667" s="2">
        <f>31400</f>
        <v>31400</v>
      </c>
      <c r="K667" s="2" t="str">
        <f t="shared" si="119"/>
        <v>脚</v>
      </c>
      <c r="L667" s="2" t="str">
        <f t="shared" si="113"/>
        <v>3630331</v>
      </c>
      <c r="M667" s="2" t="str">
        <f>""</f>
        <v/>
      </c>
    </row>
    <row r="668" spans="1:13" x14ac:dyDescent="0.15">
      <c r="A668" s="2" t="str">
        <f t="shared" si="117"/>
        <v>1881110500</v>
      </c>
      <c r="B668" s="2" t="str">
        <f t="shared" si="118"/>
        <v>佐伯・区政調整</v>
      </c>
      <c r="C668" s="2" t="str">
        <f t="shared" si="114"/>
        <v>01ｲ00311</v>
      </c>
      <c r="D668" s="2" t="str">
        <f t="shared" si="115"/>
        <v>肘掛椅子</v>
      </c>
      <c r="E668" s="3" t="str">
        <f t="shared" si="110"/>
        <v>肘付</v>
      </c>
      <c r="F668" s="2" t="str">
        <f t="shared" si="111"/>
        <v>０００１</v>
      </c>
      <c r="G668" s="2" t="str">
        <f>"3620003760"</f>
        <v>3620003760</v>
      </c>
      <c r="H668" s="2" t="str">
        <f t="shared" si="116"/>
        <v>001</v>
      </c>
      <c r="I668" s="2" t="str">
        <f t="shared" si="112"/>
        <v>4100401</v>
      </c>
      <c r="J668" s="2">
        <f>31400</f>
        <v>31400</v>
      </c>
      <c r="K668" s="2" t="str">
        <f t="shared" si="119"/>
        <v>脚</v>
      </c>
      <c r="L668" s="2" t="str">
        <f t="shared" si="113"/>
        <v>3630331</v>
      </c>
      <c r="M668" s="2" t="str">
        <f>""</f>
        <v/>
      </c>
    </row>
    <row r="669" spans="1:13" x14ac:dyDescent="0.15">
      <c r="A669" s="2" t="str">
        <f t="shared" si="117"/>
        <v>1881110500</v>
      </c>
      <c r="B669" s="2" t="str">
        <f t="shared" si="118"/>
        <v>佐伯・区政調整</v>
      </c>
      <c r="C669" s="2" t="str">
        <f t="shared" si="114"/>
        <v>01ｲ00311</v>
      </c>
      <c r="D669" s="2" t="str">
        <f t="shared" si="115"/>
        <v>肘掛椅子</v>
      </c>
      <c r="E669" s="3" t="str">
        <f t="shared" si="110"/>
        <v>肘付</v>
      </c>
      <c r="F669" s="2" t="str">
        <f t="shared" si="111"/>
        <v>０００１</v>
      </c>
      <c r="G669" s="2" t="str">
        <f>"3620003761"</f>
        <v>3620003761</v>
      </c>
      <c r="H669" s="2" t="str">
        <f t="shared" si="116"/>
        <v>001</v>
      </c>
      <c r="I669" s="2" t="str">
        <f t="shared" si="112"/>
        <v>4100401</v>
      </c>
      <c r="J669" s="2">
        <f>31400</f>
        <v>31400</v>
      </c>
      <c r="K669" s="2" t="str">
        <f t="shared" si="119"/>
        <v>脚</v>
      </c>
      <c r="L669" s="2" t="str">
        <f t="shared" si="113"/>
        <v>3630331</v>
      </c>
      <c r="M669" s="2" t="str">
        <f>""</f>
        <v/>
      </c>
    </row>
    <row r="670" spans="1:13" x14ac:dyDescent="0.15">
      <c r="A670" s="2" t="str">
        <f t="shared" si="117"/>
        <v>1881110500</v>
      </c>
      <c r="B670" s="2" t="str">
        <f t="shared" si="118"/>
        <v>佐伯・区政調整</v>
      </c>
      <c r="C670" s="2" t="str">
        <f t="shared" si="114"/>
        <v>01ｲ00311</v>
      </c>
      <c r="D670" s="2" t="str">
        <f t="shared" si="115"/>
        <v>肘掛椅子</v>
      </c>
      <c r="E670" s="3" t="str">
        <f t="shared" si="110"/>
        <v>肘付</v>
      </c>
      <c r="F670" s="2" t="str">
        <f t="shared" si="111"/>
        <v>０００１</v>
      </c>
      <c r="G670" s="2" t="str">
        <f>"3620003762"</f>
        <v>3620003762</v>
      </c>
      <c r="H670" s="2" t="str">
        <f t="shared" si="116"/>
        <v>001</v>
      </c>
      <c r="I670" s="2" t="str">
        <f t="shared" si="112"/>
        <v>4100401</v>
      </c>
      <c r="J670" s="2">
        <f>31400</f>
        <v>31400</v>
      </c>
      <c r="K670" s="2" t="str">
        <f t="shared" si="119"/>
        <v>脚</v>
      </c>
      <c r="L670" s="2" t="str">
        <f t="shared" si="113"/>
        <v>3630331</v>
      </c>
      <c r="M670" s="2" t="str">
        <f>""</f>
        <v/>
      </c>
    </row>
    <row r="671" spans="1:13" x14ac:dyDescent="0.15">
      <c r="A671" s="2" t="str">
        <f t="shared" si="117"/>
        <v>1881110500</v>
      </c>
      <c r="B671" s="2" t="str">
        <f t="shared" si="118"/>
        <v>佐伯・区政調整</v>
      </c>
      <c r="C671" s="2" t="str">
        <f t="shared" si="114"/>
        <v>01ｲ00311</v>
      </c>
      <c r="D671" s="2" t="str">
        <f t="shared" si="115"/>
        <v>肘掛椅子</v>
      </c>
      <c r="E671" s="3" t="str">
        <f t="shared" si="110"/>
        <v>肘付</v>
      </c>
      <c r="F671" s="2" t="str">
        <f t="shared" si="111"/>
        <v>０００１</v>
      </c>
      <c r="G671" s="2" t="str">
        <f>"3620003763"</f>
        <v>3620003763</v>
      </c>
      <c r="H671" s="2" t="str">
        <f t="shared" si="116"/>
        <v>001</v>
      </c>
      <c r="I671" s="2" t="str">
        <f t="shared" si="112"/>
        <v>4100401</v>
      </c>
      <c r="J671" s="2">
        <f>31400</f>
        <v>31400</v>
      </c>
      <c r="K671" s="2" t="str">
        <f t="shared" si="119"/>
        <v>脚</v>
      </c>
      <c r="L671" s="2" t="str">
        <f t="shared" si="113"/>
        <v>3630331</v>
      </c>
      <c r="M671" s="2" t="str">
        <f>""</f>
        <v/>
      </c>
    </row>
    <row r="672" spans="1:13" x14ac:dyDescent="0.15">
      <c r="A672" s="2" t="str">
        <f t="shared" si="117"/>
        <v>1881110500</v>
      </c>
      <c r="B672" s="2" t="str">
        <f t="shared" si="118"/>
        <v>佐伯・区政調整</v>
      </c>
      <c r="C672" s="2" t="str">
        <f t="shared" si="114"/>
        <v>01ｲ00311</v>
      </c>
      <c r="D672" s="2" t="str">
        <f t="shared" si="115"/>
        <v>肘掛椅子</v>
      </c>
      <c r="E672" s="3" t="str">
        <f t="shared" si="110"/>
        <v>肘付</v>
      </c>
      <c r="F672" s="2" t="str">
        <f t="shared" si="111"/>
        <v>０００１</v>
      </c>
      <c r="G672" s="2" t="str">
        <f>"3620003764"</f>
        <v>3620003764</v>
      </c>
      <c r="H672" s="2" t="str">
        <f t="shared" si="116"/>
        <v>001</v>
      </c>
      <c r="I672" s="2" t="str">
        <f t="shared" si="112"/>
        <v>4100401</v>
      </c>
      <c r="J672" s="2">
        <f>31400</f>
        <v>31400</v>
      </c>
      <c r="K672" s="2" t="str">
        <f t="shared" si="119"/>
        <v>脚</v>
      </c>
      <c r="L672" s="2" t="str">
        <f t="shared" si="113"/>
        <v>3630331</v>
      </c>
      <c r="M672" s="2" t="str">
        <f>""</f>
        <v/>
      </c>
    </row>
    <row r="673" spans="1:13" x14ac:dyDescent="0.15">
      <c r="A673" s="2" t="str">
        <f t="shared" si="117"/>
        <v>1881110500</v>
      </c>
      <c r="B673" s="2" t="str">
        <f t="shared" si="118"/>
        <v>佐伯・区政調整</v>
      </c>
      <c r="C673" s="2" t="str">
        <f t="shared" si="114"/>
        <v>01ｲ00311</v>
      </c>
      <c r="D673" s="2" t="str">
        <f t="shared" si="115"/>
        <v>肘掛椅子</v>
      </c>
      <c r="E673" s="3" t="str">
        <f t="shared" si="110"/>
        <v>肘付</v>
      </c>
      <c r="F673" s="2" t="str">
        <f t="shared" si="111"/>
        <v>０００１</v>
      </c>
      <c r="G673" s="2" t="str">
        <f>"3620003765"</f>
        <v>3620003765</v>
      </c>
      <c r="H673" s="2" t="str">
        <f t="shared" si="116"/>
        <v>001</v>
      </c>
      <c r="I673" s="2" t="str">
        <f t="shared" si="112"/>
        <v>4100401</v>
      </c>
      <c r="J673" s="2">
        <f>31400</f>
        <v>31400</v>
      </c>
      <c r="K673" s="2" t="str">
        <f t="shared" si="119"/>
        <v>脚</v>
      </c>
      <c r="L673" s="2" t="str">
        <f t="shared" si="113"/>
        <v>3630331</v>
      </c>
      <c r="M673" s="2" t="str">
        <f>""</f>
        <v/>
      </c>
    </row>
    <row r="674" spans="1:13" x14ac:dyDescent="0.15">
      <c r="A674" s="2" t="str">
        <f t="shared" si="117"/>
        <v>1881110500</v>
      </c>
      <c r="B674" s="2" t="str">
        <f t="shared" si="118"/>
        <v>佐伯・区政調整</v>
      </c>
      <c r="C674" s="2" t="str">
        <f t="shared" si="114"/>
        <v>01ｲ00311</v>
      </c>
      <c r="D674" s="2" t="str">
        <f t="shared" si="115"/>
        <v>肘掛椅子</v>
      </c>
      <c r="E674" s="3" t="str">
        <f t="shared" ref="E674:E737" si="120">"肘付"</f>
        <v>肘付</v>
      </c>
      <c r="F674" s="2" t="str">
        <f t="shared" ref="F674:F737" si="121">"０００１"</f>
        <v>０００１</v>
      </c>
      <c r="G674" s="2" t="str">
        <f>"3620003766"</f>
        <v>3620003766</v>
      </c>
      <c r="H674" s="2" t="str">
        <f t="shared" si="116"/>
        <v>001</v>
      </c>
      <c r="I674" s="2" t="str">
        <f t="shared" ref="I674:I737" si="122">"4100401"</f>
        <v>4100401</v>
      </c>
      <c r="J674" s="2">
        <f>31400</f>
        <v>31400</v>
      </c>
      <c r="K674" s="2" t="str">
        <f t="shared" si="119"/>
        <v>脚</v>
      </c>
      <c r="L674" s="2" t="str">
        <f t="shared" ref="L674:L737" si="123">"3630331"</f>
        <v>3630331</v>
      </c>
      <c r="M674" s="2" t="str">
        <f>""</f>
        <v/>
      </c>
    </row>
    <row r="675" spans="1:13" x14ac:dyDescent="0.15">
      <c r="A675" s="2" t="str">
        <f t="shared" si="117"/>
        <v>1881110500</v>
      </c>
      <c r="B675" s="2" t="str">
        <f t="shared" si="118"/>
        <v>佐伯・区政調整</v>
      </c>
      <c r="C675" s="2" t="str">
        <f t="shared" si="114"/>
        <v>01ｲ00311</v>
      </c>
      <c r="D675" s="2" t="str">
        <f t="shared" si="115"/>
        <v>肘掛椅子</v>
      </c>
      <c r="E675" s="3" t="str">
        <f t="shared" si="120"/>
        <v>肘付</v>
      </c>
      <c r="F675" s="2" t="str">
        <f t="shared" si="121"/>
        <v>０００１</v>
      </c>
      <c r="G675" s="2" t="str">
        <f>"3620003767"</f>
        <v>3620003767</v>
      </c>
      <c r="H675" s="2" t="str">
        <f t="shared" si="116"/>
        <v>001</v>
      </c>
      <c r="I675" s="2" t="str">
        <f t="shared" si="122"/>
        <v>4100401</v>
      </c>
      <c r="J675" s="2">
        <f>31400</f>
        <v>31400</v>
      </c>
      <c r="K675" s="2" t="str">
        <f t="shared" si="119"/>
        <v>脚</v>
      </c>
      <c r="L675" s="2" t="str">
        <f t="shared" si="123"/>
        <v>3630331</v>
      </c>
      <c r="M675" s="2" t="str">
        <f>""</f>
        <v/>
      </c>
    </row>
    <row r="676" spans="1:13" x14ac:dyDescent="0.15">
      <c r="A676" s="2" t="str">
        <f t="shared" si="117"/>
        <v>1881110500</v>
      </c>
      <c r="B676" s="2" t="str">
        <f t="shared" si="118"/>
        <v>佐伯・区政調整</v>
      </c>
      <c r="C676" s="2" t="str">
        <f t="shared" si="114"/>
        <v>01ｲ00311</v>
      </c>
      <c r="D676" s="2" t="str">
        <f t="shared" si="115"/>
        <v>肘掛椅子</v>
      </c>
      <c r="E676" s="3" t="str">
        <f t="shared" si="120"/>
        <v>肘付</v>
      </c>
      <c r="F676" s="2" t="str">
        <f t="shared" si="121"/>
        <v>０００１</v>
      </c>
      <c r="G676" s="2" t="str">
        <f>"3620003768"</f>
        <v>3620003768</v>
      </c>
      <c r="H676" s="2" t="str">
        <f t="shared" si="116"/>
        <v>001</v>
      </c>
      <c r="I676" s="2" t="str">
        <f t="shared" si="122"/>
        <v>4100401</v>
      </c>
      <c r="J676" s="2">
        <f>31400</f>
        <v>31400</v>
      </c>
      <c r="K676" s="2" t="str">
        <f t="shared" si="119"/>
        <v>脚</v>
      </c>
      <c r="L676" s="2" t="str">
        <f t="shared" si="123"/>
        <v>3630331</v>
      </c>
      <c r="M676" s="2" t="str">
        <f>""</f>
        <v/>
      </c>
    </row>
    <row r="677" spans="1:13" x14ac:dyDescent="0.15">
      <c r="A677" s="2" t="str">
        <f t="shared" si="117"/>
        <v>1881110500</v>
      </c>
      <c r="B677" s="2" t="str">
        <f t="shared" si="118"/>
        <v>佐伯・区政調整</v>
      </c>
      <c r="C677" s="2" t="str">
        <f t="shared" si="114"/>
        <v>01ｲ00311</v>
      </c>
      <c r="D677" s="2" t="str">
        <f t="shared" si="115"/>
        <v>肘掛椅子</v>
      </c>
      <c r="E677" s="3" t="str">
        <f t="shared" si="120"/>
        <v>肘付</v>
      </c>
      <c r="F677" s="2" t="str">
        <f t="shared" si="121"/>
        <v>０００１</v>
      </c>
      <c r="G677" s="2" t="str">
        <f>"3620003769"</f>
        <v>3620003769</v>
      </c>
      <c r="H677" s="2" t="str">
        <f t="shared" si="116"/>
        <v>001</v>
      </c>
      <c r="I677" s="2" t="str">
        <f t="shared" si="122"/>
        <v>4100401</v>
      </c>
      <c r="J677" s="2">
        <f>31400</f>
        <v>31400</v>
      </c>
      <c r="K677" s="2" t="str">
        <f t="shared" si="119"/>
        <v>脚</v>
      </c>
      <c r="L677" s="2" t="str">
        <f t="shared" si="123"/>
        <v>3630331</v>
      </c>
      <c r="M677" s="2" t="str">
        <f>""</f>
        <v/>
      </c>
    </row>
    <row r="678" spans="1:13" x14ac:dyDescent="0.15">
      <c r="A678" s="2" t="str">
        <f t="shared" si="117"/>
        <v>1881110500</v>
      </c>
      <c r="B678" s="2" t="str">
        <f t="shared" si="118"/>
        <v>佐伯・区政調整</v>
      </c>
      <c r="C678" s="2" t="str">
        <f t="shared" si="114"/>
        <v>01ｲ00311</v>
      </c>
      <c r="D678" s="2" t="str">
        <f t="shared" si="115"/>
        <v>肘掛椅子</v>
      </c>
      <c r="E678" s="3" t="str">
        <f t="shared" si="120"/>
        <v>肘付</v>
      </c>
      <c r="F678" s="2" t="str">
        <f t="shared" si="121"/>
        <v>０００１</v>
      </c>
      <c r="G678" s="2" t="str">
        <f>"3620003770"</f>
        <v>3620003770</v>
      </c>
      <c r="H678" s="2" t="str">
        <f t="shared" si="116"/>
        <v>001</v>
      </c>
      <c r="I678" s="2" t="str">
        <f t="shared" si="122"/>
        <v>4100401</v>
      </c>
      <c r="J678" s="2">
        <f>31400</f>
        <v>31400</v>
      </c>
      <c r="K678" s="2" t="str">
        <f t="shared" si="119"/>
        <v>脚</v>
      </c>
      <c r="L678" s="2" t="str">
        <f t="shared" si="123"/>
        <v>3630331</v>
      </c>
      <c r="M678" s="2" t="str">
        <f>""</f>
        <v/>
      </c>
    </row>
    <row r="679" spans="1:13" x14ac:dyDescent="0.15">
      <c r="A679" s="2" t="str">
        <f t="shared" si="117"/>
        <v>1881110500</v>
      </c>
      <c r="B679" s="2" t="str">
        <f t="shared" si="118"/>
        <v>佐伯・区政調整</v>
      </c>
      <c r="C679" s="2" t="str">
        <f t="shared" si="114"/>
        <v>01ｲ00311</v>
      </c>
      <c r="D679" s="2" t="str">
        <f t="shared" si="115"/>
        <v>肘掛椅子</v>
      </c>
      <c r="E679" s="3" t="str">
        <f t="shared" si="120"/>
        <v>肘付</v>
      </c>
      <c r="F679" s="2" t="str">
        <f t="shared" si="121"/>
        <v>０００１</v>
      </c>
      <c r="G679" s="2" t="str">
        <f>"3620003771"</f>
        <v>3620003771</v>
      </c>
      <c r="H679" s="2" t="str">
        <f t="shared" si="116"/>
        <v>001</v>
      </c>
      <c r="I679" s="2" t="str">
        <f t="shared" si="122"/>
        <v>4100401</v>
      </c>
      <c r="J679" s="2">
        <f>31400</f>
        <v>31400</v>
      </c>
      <c r="K679" s="2" t="str">
        <f t="shared" si="119"/>
        <v>脚</v>
      </c>
      <c r="L679" s="2" t="str">
        <f t="shared" si="123"/>
        <v>3630331</v>
      </c>
      <c r="M679" s="2" t="str">
        <f>""</f>
        <v/>
      </c>
    </row>
    <row r="680" spans="1:13" x14ac:dyDescent="0.15">
      <c r="A680" s="2" t="str">
        <f t="shared" si="117"/>
        <v>1881110500</v>
      </c>
      <c r="B680" s="2" t="str">
        <f t="shared" si="118"/>
        <v>佐伯・区政調整</v>
      </c>
      <c r="C680" s="2" t="str">
        <f t="shared" si="114"/>
        <v>01ｲ00311</v>
      </c>
      <c r="D680" s="2" t="str">
        <f t="shared" si="115"/>
        <v>肘掛椅子</v>
      </c>
      <c r="E680" s="3" t="str">
        <f t="shared" si="120"/>
        <v>肘付</v>
      </c>
      <c r="F680" s="2" t="str">
        <f t="shared" si="121"/>
        <v>０００１</v>
      </c>
      <c r="G680" s="2" t="str">
        <f>"3620003772"</f>
        <v>3620003772</v>
      </c>
      <c r="H680" s="2" t="str">
        <f t="shared" si="116"/>
        <v>001</v>
      </c>
      <c r="I680" s="2" t="str">
        <f t="shared" si="122"/>
        <v>4100401</v>
      </c>
      <c r="J680" s="2">
        <f>31400</f>
        <v>31400</v>
      </c>
      <c r="K680" s="2" t="str">
        <f t="shared" si="119"/>
        <v>脚</v>
      </c>
      <c r="L680" s="2" t="str">
        <f t="shared" si="123"/>
        <v>3630331</v>
      </c>
      <c r="M680" s="2" t="str">
        <f>""</f>
        <v/>
      </c>
    </row>
    <row r="681" spans="1:13" x14ac:dyDescent="0.15">
      <c r="A681" s="2" t="str">
        <f t="shared" si="117"/>
        <v>1881110500</v>
      </c>
      <c r="B681" s="2" t="str">
        <f t="shared" si="118"/>
        <v>佐伯・区政調整</v>
      </c>
      <c r="C681" s="2" t="str">
        <f t="shared" si="114"/>
        <v>01ｲ00311</v>
      </c>
      <c r="D681" s="2" t="str">
        <f t="shared" si="115"/>
        <v>肘掛椅子</v>
      </c>
      <c r="E681" s="3" t="str">
        <f t="shared" si="120"/>
        <v>肘付</v>
      </c>
      <c r="F681" s="2" t="str">
        <f t="shared" si="121"/>
        <v>０００１</v>
      </c>
      <c r="G681" s="2" t="str">
        <f>"3620003773"</f>
        <v>3620003773</v>
      </c>
      <c r="H681" s="2" t="str">
        <f t="shared" si="116"/>
        <v>001</v>
      </c>
      <c r="I681" s="2" t="str">
        <f t="shared" si="122"/>
        <v>4100401</v>
      </c>
      <c r="J681" s="2">
        <f>31400</f>
        <v>31400</v>
      </c>
      <c r="K681" s="2" t="str">
        <f t="shared" si="119"/>
        <v>脚</v>
      </c>
      <c r="L681" s="2" t="str">
        <f t="shared" si="123"/>
        <v>3630331</v>
      </c>
      <c r="M681" s="2" t="str">
        <f>""</f>
        <v/>
      </c>
    </row>
    <row r="682" spans="1:13" x14ac:dyDescent="0.15">
      <c r="A682" s="2" t="str">
        <f t="shared" si="117"/>
        <v>1881110500</v>
      </c>
      <c r="B682" s="2" t="str">
        <f t="shared" si="118"/>
        <v>佐伯・区政調整</v>
      </c>
      <c r="C682" s="2" t="str">
        <f t="shared" si="114"/>
        <v>01ｲ00311</v>
      </c>
      <c r="D682" s="2" t="str">
        <f t="shared" si="115"/>
        <v>肘掛椅子</v>
      </c>
      <c r="E682" s="3" t="str">
        <f t="shared" si="120"/>
        <v>肘付</v>
      </c>
      <c r="F682" s="2" t="str">
        <f t="shared" si="121"/>
        <v>０００１</v>
      </c>
      <c r="G682" s="2" t="str">
        <f>"3620003774"</f>
        <v>3620003774</v>
      </c>
      <c r="H682" s="2" t="str">
        <f t="shared" si="116"/>
        <v>001</v>
      </c>
      <c r="I682" s="2" t="str">
        <f t="shared" si="122"/>
        <v>4100401</v>
      </c>
      <c r="J682" s="2">
        <f>31400</f>
        <v>31400</v>
      </c>
      <c r="K682" s="2" t="str">
        <f t="shared" si="119"/>
        <v>脚</v>
      </c>
      <c r="L682" s="2" t="str">
        <f t="shared" si="123"/>
        <v>3630331</v>
      </c>
      <c r="M682" s="2" t="str">
        <f>""</f>
        <v/>
      </c>
    </row>
    <row r="683" spans="1:13" x14ac:dyDescent="0.15">
      <c r="A683" s="2" t="str">
        <f t="shared" si="117"/>
        <v>1881110500</v>
      </c>
      <c r="B683" s="2" t="str">
        <f t="shared" si="118"/>
        <v>佐伯・区政調整</v>
      </c>
      <c r="C683" s="2" t="str">
        <f t="shared" si="114"/>
        <v>01ｲ00311</v>
      </c>
      <c r="D683" s="2" t="str">
        <f t="shared" si="115"/>
        <v>肘掛椅子</v>
      </c>
      <c r="E683" s="3" t="str">
        <f t="shared" si="120"/>
        <v>肘付</v>
      </c>
      <c r="F683" s="2" t="str">
        <f t="shared" si="121"/>
        <v>０００１</v>
      </c>
      <c r="G683" s="2" t="str">
        <f>"3620003775"</f>
        <v>3620003775</v>
      </c>
      <c r="H683" s="2" t="str">
        <f t="shared" si="116"/>
        <v>001</v>
      </c>
      <c r="I683" s="2" t="str">
        <f t="shared" si="122"/>
        <v>4100401</v>
      </c>
      <c r="J683" s="2">
        <f>31400</f>
        <v>31400</v>
      </c>
      <c r="K683" s="2" t="str">
        <f t="shared" si="119"/>
        <v>脚</v>
      </c>
      <c r="L683" s="2" t="str">
        <f t="shared" si="123"/>
        <v>3630331</v>
      </c>
      <c r="M683" s="2" t="str">
        <f>""</f>
        <v/>
      </c>
    </row>
    <row r="684" spans="1:13" x14ac:dyDescent="0.15">
      <c r="A684" s="2" t="str">
        <f t="shared" si="117"/>
        <v>1881110500</v>
      </c>
      <c r="B684" s="2" t="str">
        <f t="shared" si="118"/>
        <v>佐伯・区政調整</v>
      </c>
      <c r="C684" s="2" t="str">
        <f t="shared" si="114"/>
        <v>01ｲ00311</v>
      </c>
      <c r="D684" s="2" t="str">
        <f t="shared" si="115"/>
        <v>肘掛椅子</v>
      </c>
      <c r="E684" s="3" t="str">
        <f t="shared" si="120"/>
        <v>肘付</v>
      </c>
      <c r="F684" s="2" t="str">
        <f t="shared" si="121"/>
        <v>０００１</v>
      </c>
      <c r="G684" s="2" t="str">
        <f>"3620003776"</f>
        <v>3620003776</v>
      </c>
      <c r="H684" s="2" t="str">
        <f t="shared" si="116"/>
        <v>001</v>
      </c>
      <c r="I684" s="2" t="str">
        <f t="shared" si="122"/>
        <v>4100401</v>
      </c>
      <c r="J684" s="2">
        <f>31400</f>
        <v>31400</v>
      </c>
      <c r="K684" s="2" t="str">
        <f t="shared" si="119"/>
        <v>脚</v>
      </c>
      <c r="L684" s="2" t="str">
        <f t="shared" si="123"/>
        <v>3630331</v>
      </c>
      <c r="M684" s="2" t="str">
        <f>""</f>
        <v/>
      </c>
    </row>
    <row r="685" spans="1:13" x14ac:dyDescent="0.15">
      <c r="A685" s="2" t="str">
        <f t="shared" si="117"/>
        <v>1881110500</v>
      </c>
      <c r="B685" s="2" t="str">
        <f t="shared" si="118"/>
        <v>佐伯・区政調整</v>
      </c>
      <c r="C685" s="2" t="str">
        <f t="shared" si="114"/>
        <v>01ｲ00311</v>
      </c>
      <c r="D685" s="2" t="str">
        <f t="shared" si="115"/>
        <v>肘掛椅子</v>
      </c>
      <c r="E685" s="3" t="str">
        <f t="shared" si="120"/>
        <v>肘付</v>
      </c>
      <c r="F685" s="2" t="str">
        <f t="shared" si="121"/>
        <v>０００１</v>
      </c>
      <c r="G685" s="2" t="str">
        <f>"3620003777"</f>
        <v>3620003777</v>
      </c>
      <c r="H685" s="2" t="str">
        <f t="shared" si="116"/>
        <v>001</v>
      </c>
      <c r="I685" s="2" t="str">
        <f t="shared" si="122"/>
        <v>4100401</v>
      </c>
      <c r="J685" s="2">
        <f>31400</f>
        <v>31400</v>
      </c>
      <c r="K685" s="2" t="str">
        <f t="shared" si="119"/>
        <v>脚</v>
      </c>
      <c r="L685" s="2" t="str">
        <f t="shared" si="123"/>
        <v>3630331</v>
      </c>
      <c r="M685" s="2" t="str">
        <f>""</f>
        <v/>
      </c>
    </row>
    <row r="686" spans="1:13" x14ac:dyDescent="0.15">
      <c r="A686" s="2" t="str">
        <f t="shared" si="117"/>
        <v>1881110500</v>
      </c>
      <c r="B686" s="2" t="str">
        <f t="shared" si="118"/>
        <v>佐伯・区政調整</v>
      </c>
      <c r="C686" s="2" t="str">
        <f t="shared" si="114"/>
        <v>01ｲ00311</v>
      </c>
      <c r="D686" s="2" t="str">
        <f t="shared" si="115"/>
        <v>肘掛椅子</v>
      </c>
      <c r="E686" s="3" t="str">
        <f t="shared" si="120"/>
        <v>肘付</v>
      </c>
      <c r="F686" s="2" t="str">
        <f t="shared" si="121"/>
        <v>０００１</v>
      </c>
      <c r="G686" s="2" t="str">
        <f>"3620003778"</f>
        <v>3620003778</v>
      </c>
      <c r="H686" s="2" t="str">
        <f t="shared" si="116"/>
        <v>001</v>
      </c>
      <c r="I686" s="2" t="str">
        <f t="shared" si="122"/>
        <v>4100401</v>
      </c>
      <c r="J686" s="2">
        <f>31400</f>
        <v>31400</v>
      </c>
      <c r="K686" s="2" t="str">
        <f t="shared" si="119"/>
        <v>脚</v>
      </c>
      <c r="L686" s="2" t="str">
        <f t="shared" si="123"/>
        <v>3630331</v>
      </c>
      <c r="M686" s="2" t="str">
        <f>""</f>
        <v/>
      </c>
    </row>
    <row r="687" spans="1:13" x14ac:dyDescent="0.15">
      <c r="A687" s="2" t="str">
        <f t="shared" si="117"/>
        <v>1881110500</v>
      </c>
      <c r="B687" s="2" t="str">
        <f t="shared" si="118"/>
        <v>佐伯・区政調整</v>
      </c>
      <c r="C687" s="2" t="str">
        <f t="shared" si="114"/>
        <v>01ｲ00311</v>
      </c>
      <c r="D687" s="2" t="str">
        <f t="shared" si="115"/>
        <v>肘掛椅子</v>
      </c>
      <c r="E687" s="3" t="str">
        <f t="shared" si="120"/>
        <v>肘付</v>
      </c>
      <c r="F687" s="2" t="str">
        <f t="shared" si="121"/>
        <v>０００１</v>
      </c>
      <c r="G687" s="2" t="str">
        <f>"3620003779"</f>
        <v>3620003779</v>
      </c>
      <c r="H687" s="2" t="str">
        <f t="shared" si="116"/>
        <v>001</v>
      </c>
      <c r="I687" s="2" t="str">
        <f t="shared" si="122"/>
        <v>4100401</v>
      </c>
      <c r="J687" s="2">
        <f>31400</f>
        <v>31400</v>
      </c>
      <c r="K687" s="2" t="str">
        <f t="shared" si="119"/>
        <v>脚</v>
      </c>
      <c r="L687" s="2" t="str">
        <f t="shared" si="123"/>
        <v>3630331</v>
      </c>
      <c r="M687" s="2" t="str">
        <f>""</f>
        <v/>
      </c>
    </row>
    <row r="688" spans="1:13" x14ac:dyDescent="0.15">
      <c r="A688" s="2" t="str">
        <f t="shared" si="117"/>
        <v>1881110500</v>
      </c>
      <c r="B688" s="2" t="str">
        <f t="shared" si="118"/>
        <v>佐伯・区政調整</v>
      </c>
      <c r="C688" s="2" t="str">
        <f t="shared" si="114"/>
        <v>01ｲ00311</v>
      </c>
      <c r="D688" s="2" t="str">
        <f t="shared" si="115"/>
        <v>肘掛椅子</v>
      </c>
      <c r="E688" s="3" t="str">
        <f t="shared" si="120"/>
        <v>肘付</v>
      </c>
      <c r="F688" s="2" t="str">
        <f t="shared" si="121"/>
        <v>０００１</v>
      </c>
      <c r="G688" s="2" t="str">
        <f>"3620003780"</f>
        <v>3620003780</v>
      </c>
      <c r="H688" s="2" t="str">
        <f t="shared" si="116"/>
        <v>001</v>
      </c>
      <c r="I688" s="2" t="str">
        <f t="shared" si="122"/>
        <v>4100401</v>
      </c>
      <c r="J688" s="2">
        <f>31400</f>
        <v>31400</v>
      </c>
      <c r="K688" s="2" t="str">
        <f t="shared" si="119"/>
        <v>脚</v>
      </c>
      <c r="L688" s="2" t="str">
        <f t="shared" si="123"/>
        <v>3630331</v>
      </c>
      <c r="M688" s="2" t="str">
        <f>""</f>
        <v/>
      </c>
    </row>
    <row r="689" spans="1:13" x14ac:dyDescent="0.15">
      <c r="A689" s="2" t="str">
        <f t="shared" si="117"/>
        <v>1881110500</v>
      </c>
      <c r="B689" s="2" t="str">
        <f t="shared" si="118"/>
        <v>佐伯・区政調整</v>
      </c>
      <c r="C689" s="2" t="str">
        <f t="shared" si="114"/>
        <v>01ｲ00311</v>
      </c>
      <c r="D689" s="2" t="str">
        <f t="shared" si="115"/>
        <v>肘掛椅子</v>
      </c>
      <c r="E689" s="3" t="str">
        <f t="shared" si="120"/>
        <v>肘付</v>
      </c>
      <c r="F689" s="2" t="str">
        <f t="shared" si="121"/>
        <v>０００１</v>
      </c>
      <c r="G689" s="2" t="str">
        <f>"3620003781"</f>
        <v>3620003781</v>
      </c>
      <c r="H689" s="2" t="str">
        <f t="shared" si="116"/>
        <v>001</v>
      </c>
      <c r="I689" s="2" t="str">
        <f t="shared" si="122"/>
        <v>4100401</v>
      </c>
      <c r="J689" s="2">
        <f>31400</f>
        <v>31400</v>
      </c>
      <c r="K689" s="2" t="str">
        <f t="shared" si="119"/>
        <v>脚</v>
      </c>
      <c r="L689" s="2" t="str">
        <f t="shared" si="123"/>
        <v>3630331</v>
      </c>
      <c r="M689" s="2" t="str">
        <f>""</f>
        <v/>
      </c>
    </row>
    <row r="690" spans="1:13" x14ac:dyDescent="0.15">
      <c r="A690" s="2" t="str">
        <f t="shared" si="117"/>
        <v>1881110500</v>
      </c>
      <c r="B690" s="2" t="str">
        <f t="shared" si="118"/>
        <v>佐伯・区政調整</v>
      </c>
      <c r="C690" s="2" t="str">
        <f t="shared" si="114"/>
        <v>01ｲ00311</v>
      </c>
      <c r="D690" s="2" t="str">
        <f t="shared" si="115"/>
        <v>肘掛椅子</v>
      </c>
      <c r="E690" s="3" t="str">
        <f t="shared" si="120"/>
        <v>肘付</v>
      </c>
      <c r="F690" s="2" t="str">
        <f t="shared" si="121"/>
        <v>０００１</v>
      </c>
      <c r="G690" s="2" t="str">
        <f>"3620003782"</f>
        <v>3620003782</v>
      </c>
      <c r="H690" s="2" t="str">
        <f t="shared" si="116"/>
        <v>001</v>
      </c>
      <c r="I690" s="2" t="str">
        <f t="shared" si="122"/>
        <v>4100401</v>
      </c>
      <c r="J690" s="2">
        <f>31400</f>
        <v>31400</v>
      </c>
      <c r="K690" s="2" t="str">
        <f t="shared" si="119"/>
        <v>脚</v>
      </c>
      <c r="L690" s="2" t="str">
        <f t="shared" si="123"/>
        <v>3630331</v>
      </c>
      <c r="M690" s="2" t="str">
        <f>""</f>
        <v/>
      </c>
    </row>
    <row r="691" spans="1:13" x14ac:dyDescent="0.15">
      <c r="A691" s="2" t="str">
        <f t="shared" si="117"/>
        <v>1881110500</v>
      </c>
      <c r="B691" s="2" t="str">
        <f t="shared" si="118"/>
        <v>佐伯・区政調整</v>
      </c>
      <c r="C691" s="2" t="str">
        <f t="shared" si="114"/>
        <v>01ｲ00311</v>
      </c>
      <c r="D691" s="2" t="str">
        <f t="shared" si="115"/>
        <v>肘掛椅子</v>
      </c>
      <c r="E691" s="3" t="str">
        <f t="shared" si="120"/>
        <v>肘付</v>
      </c>
      <c r="F691" s="2" t="str">
        <f t="shared" si="121"/>
        <v>０００１</v>
      </c>
      <c r="G691" s="2" t="str">
        <f>"3620003783"</f>
        <v>3620003783</v>
      </c>
      <c r="H691" s="2" t="str">
        <f t="shared" si="116"/>
        <v>001</v>
      </c>
      <c r="I691" s="2" t="str">
        <f t="shared" si="122"/>
        <v>4100401</v>
      </c>
      <c r="J691" s="2">
        <f>31400</f>
        <v>31400</v>
      </c>
      <c r="K691" s="2" t="str">
        <f t="shared" si="119"/>
        <v>脚</v>
      </c>
      <c r="L691" s="2" t="str">
        <f t="shared" si="123"/>
        <v>3630331</v>
      </c>
      <c r="M691" s="2" t="str">
        <f>""</f>
        <v/>
      </c>
    </row>
    <row r="692" spans="1:13" x14ac:dyDescent="0.15">
      <c r="A692" s="2" t="str">
        <f t="shared" si="117"/>
        <v>1881110500</v>
      </c>
      <c r="B692" s="2" t="str">
        <f t="shared" si="118"/>
        <v>佐伯・区政調整</v>
      </c>
      <c r="C692" s="2" t="str">
        <f t="shared" si="114"/>
        <v>01ｲ00311</v>
      </c>
      <c r="D692" s="2" t="str">
        <f t="shared" si="115"/>
        <v>肘掛椅子</v>
      </c>
      <c r="E692" s="3" t="str">
        <f t="shared" si="120"/>
        <v>肘付</v>
      </c>
      <c r="F692" s="2" t="str">
        <f t="shared" si="121"/>
        <v>０００１</v>
      </c>
      <c r="G692" s="2" t="str">
        <f>"3620003784"</f>
        <v>3620003784</v>
      </c>
      <c r="H692" s="2" t="str">
        <f t="shared" si="116"/>
        <v>001</v>
      </c>
      <c r="I692" s="2" t="str">
        <f t="shared" si="122"/>
        <v>4100401</v>
      </c>
      <c r="J692" s="2">
        <f>31400</f>
        <v>31400</v>
      </c>
      <c r="K692" s="2" t="str">
        <f t="shared" si="119"/>
        <v>脚</v>
      </c>
      <c r="L692" s="2" t="str">
        <f t="shared" si="123"/>
        <v>3630331</v>
      </c>
      <c r="M692" s="2" t="str">
        <f>""</f>
        <v/>
      </c>
    </row>
    <row r="693" spans="1:13" x14ac:dyDescent="0.15">
      <c r="A693" s="2" t="str">
        <f t="shared" si="117"/>
        <v>1881110500</v>
      </c>
      <c r="B693" s="2" t="str">
        <f t="shared" si="118"/>
        <v>佐伯・区政調整</v>
      </c>
      <c r="C693" s="2" t="str">
        <f t="shared" si="114"/>
        <v>01ｲ00311</v>
      </c>
      <c r="D693" s="2" t="str">
        <f t="shared" si="115"/>
        <v>肘掛椅子</v>
      </c>
      <c r="E693" s="3" t="str">
        <f t="shared" si="120"/>
        <v>肘付</v>
      </c>
      <c r="F693" s="2" t="str">
        <f t="shared" si="121"/>
        <v>０００１</v>
      </c>
      <c r="G693" s="2" t="str">
        <f>"3620003785"</f>
        <v>3620003785</v>
      </c>
      <c r="H693" s="2" t="str">
        <f t="shared" si="116"/>
        <v>001</v>
      </c>
      <c r="I693" s="2" t="str">
        <f t="shared" si="122"/>
        <v>4100401</v>
      </c>
      <c r="J693" s="2">
        <f>31400</f>
        <v>31400</v>
      </c>
      <c r="K693" s="2" t="str">
        <f t="shared" si="119"/>
        <v>脚</v>
      </c>
      <c r="L693" s="2" t="str">
        <f t="shared" si="123"/>
        <v>3630331</v>
      </c>
      <c r="M693" s="2" t="str">
        <f>""</f>
        <v/>
      </c>
    </row>
    <row r="694" spans="1:13" x14ac:dyDescent="0.15">
      <c r="A694" s="2" t="str">
        <f t="shared" si="117"/>
        <v>1881110500</v>
      </c>
      <c r="B694" s="2" t="str">
        <f t="shared" si="118"/>
        <v>佐伯・区政調整</v>
      </c>
      <c r="C694" s="2" t="str">
        <f t="shared" si="114"/>
        <v>01ｲ00311</v>
      </c>
      <c r="D694" s="2" t="str">
        <f t="shared" si="115"/>
        <v>肘掛椅子</v>
      </c>
      <c r="E694" s="3" t="str">
        <f t="shared" si="120"/>
        <v>肘付</v>
      </c>
      <c r="F694" s="2" t="str">
        <f t="shared" si="121"/>
        <v>０００１</v>
      </c>
      <c r="G694" s="2" t="str">
        <f>"3620003786"</f>
        <v>3620003786</v>
      </c>
      <c r="H694" s="2" t="str">
        <f t="shared" si="116"/>
        <v>001</v>
      </c>
      <c r="I694" s="2" t="str">
        <f t="shared" si="122"/>
        <v>4100401</v>
      </c>
      <c r="J694" s="2">
        <f>31400</f>
        <v>31400</v>
      </c>
      <c r="K694" s="2" t="str">
        <f t="shared" si="119"/>
        <v>脚</v>
      </c>
      <c r="L694" s="2" t="str">
        <f t="shared" si="123"/>
        <v>3630331</v>
      </c>
      <c r="M694" s="2" t="str">
        <f>""</f>
        <v/>
      </c>
    </row>
    <row r="695" spans="1:13" x14ac:dyDescent="0.15">
      <c r="A695" s="2" t="str">
        <f t="shared" si="117"/>
        <v>1881110500</v>
      </c>
      <c r="B695" s="2" t="str">
        <f t="shared" si="118"/>
        <v>佐伯・区政調整</v>
      </c>
      <c r="C695" s="2" t="str">
        <f t="shared" si="114"/>
        <v>01ｲ00311</v>
      </c>
      <c r="D695" s="2" t="str">
        <f t="shared" si="115"/>
        <v>肘掛椅子</v>
      </c>
      <c r="E695" s="3" t="str">
        <f t="shared" si="120"/>
        <v>肘付</v>
      </c>
      <c r="F695" s="2" t="str">
        <f t="shared" si="121"/>
        <v>０００１</v>
      </c>
      <c r="G695" s="2" t="str">
        <f>"3620003787"</f>
        <v>3620003787</v>
      </c>
      <c r="H695" s="2" t="str">
        <f t="shared" si="116"/>
        <v>001</v>
      </c>
      <c r="I695" s="2" t="str">
        <f t="shared" si="122"/>
        <v>4100401</v>
      </c>
      <c r="J695" s="2">
        <f>31400</f>
        <v>31400</v>
      </c>
      <c r="K695" s="2" t="str">
        <f t="shared" si="119"/>
        <v>脚</v>
      </c>
      <c r="L695" s="2" t="str">
        <f t="shared" si="123"/>
        <v>3630331</v>
      </c>
      <c r="M695" s="2" t="str">
        <f>""</f>
        <v/>
      </c>
    </row>
    <row r="696" spans="1:13" x14ac:dyDescent="0.15">
      <c r="A696" s="2" t="str">
        <f t="shared" si="117"/>
        <v>1881110500</v>
      </c>
      <c r="B696" s="2" t="str">
        <f t="shared" si="118"/>
        <v>佐伯・区政調整</v>
      </c>
      <c r="C696" s="2" t="str">
        <f t="shared" si="114"/>
        <v>01ｲ00311</v>
      </c>
      <c r="D696" s="2" t="str">
        <f t="shared" si="115"/>
        <v>肘掛椅子</v>
      </c>
      <c r="E696" s="3" t="str">
        <f t="shared" si="120"/>
        <v>肘付</v>
      </c>
      <c r="F696" s="2" t="str">
        <f t="shared" si="121"/>
        <v>０００１</v>
      </c>
      <c r="G696" s="2" t="str">
        <f>"3620003788"</f>
        <v>3620003788</v>
      </c>
      <c r="H696" s="2" t="str">
        <f t="shared" si="116"/>
        <v>001</v>
      </c>
      <c r="I696" s="2" t="str">
        <f t="shared" si="122"/>
        <v>4100401</v>
      </c>
      <c r="J696" s="2">
        <f>31400</f>
        <v>31400</v>
      </c>
      <c r="K696" s="2" t="str">
        <f t="shared" si="119"/>
        <v>脚</v>
      </c>
      <c r="L696" s="2" t="str">
        <f t="shared" si="123"/>
        <v>3630331</v>
      </c>
      <c r="M696" s="2" t="str">
        <f>""</f>
        <v/>
      </c>
    </row>
    <row r="697" spans="1:13" x14ac:dyDescent="0.15">
      <c r="A697" s="2" t="str">
        <f t="shared" si="117"/>
        <v>1881110500</v>
      </c>
      <c r="B697" s="2" t="str">
        <f t="shared" si="118"/>
        <v>佐伯・区政調整</v>
      </c>
      <c r="C697" s="2" t="str">
        <f t="shared" si="114"/>
        <v>01ｲ00311</v>
      </c>
      <c r="D697" s="2" t="str">
        <f t="shared" si="115"/>
        <v>肘掛椅子</v>
      </c>
      <c r="E697" s="3" t="str">
        <f t="shared" si="120"/>
        <v>肘付</v>
      </c>
      <c r="F697" s="2" t="str">
        <f t="shared" si="121"/>
        <v>０００１</v>
      </c>
      <c r="G697" s="2" t="str">
        <f>"3620003789"</f>
        <v>3620003789</v>
      </c>
      <c r="H697" s="2" t="str">
        <f t="shared" si="116"/>
        <v>001</v>
      </c>
      <c r="I697" s="2" t="str">
        <f t="shared" si="122"/>
        <v>4100401</v>
      </c>
      <c r="J697" s="2">
        <f>31400</f>
        <v>31400</v>
      </c>
      <c r="K697" s="2" t="str">
        <f t="shared" si="119"/>
        <v>脚</v>
      </c>
      <c r="L697" s="2" t="str">
        <f t="shared" si="123"/>
        <v>3630331</v>
      </c>
      <c r="M697" s="2" t="str">
        <f>""</f>
        <v/>
      </c>
    </row>
    <row r="698" spans="1:13" x14ac:dyDescent="0.15">
      <c r="A698" s="2" t="str">
        <f t="shared" si="117"/>
        <v>1881110500</v>
      </c>
      <c r="B698" s="2" t="str">
        <f t="shared" si="118"/>
        <v>佐伯・区政調整</v>
      </c>
      <c r="C698" s="2" t="str">
        <f t="shared" si="114"/>
        <v>01ｲ00311</v>
      </c>
      <c r="D698" s="2" t="str">
        <f t="shared" si="115"/>
        <v>肘掛椅子</v>
      </c>
      <c r="E698" s="3" t="str">
        <f t="shared" si="120"/>
        <v>肘付</v>
      </c>
      <c r="F698" s="2" t="str">
        <f t="shared" si="121"/>
        <v>０００１</v>
      </c>
      <c r="G698" s="2" t="str">
        <f>"3620003790"</f>
        <v>3620003790</v>
      </c>
      <c r="H698" s="2" t="str">
        <f t="shared" si="116"/>
        <v>001</v>
      </c>
      <c r="I698" s="2" t="str">
        <f t="shared" si="122"/>
        <v>4100401</v>
      </c>
      <c r="J698" s="2">
        <f>31400</f>
        <v>31400</v>
      </c>
      <c r="K698" s="2" t="str">
        <f t="shared" si="119"/>
        <v>脚</v>
      </c>
      <c r="L698" s="2" t="str">
        <f t="shared" si="123"/>
        <v>3630331</v>
      </c>
      <c r="M698" s="2" t="str">
        <f>""</f>
        <v/>
      </c>
    </row>
    <row r="699" spans="1:13" x14ac:dyDescent="0.15">
      <c r="A699" s="2" t="str">
        <f t="shared" si="117"/>
        <v>1881110500</v>
      </c>
      <c r="B699" s="2" t="str">
        <f t="shared" si="118"/>
        <v>佐伯・区政調整</v>
      </c>
      <c r="C699" s="2" t="str">
        <f t="shared" si="114"/>
        <v>01ｲ00311</v>
      </c>
      <c r="D699" s="2" t="str">
        <f t="shared" si="115"/>
        <v>肘掛椅子</v>
      </c>
      <c r="E699" s="3" t="str">
        <f t="shared" si="120"/>
        <v>肘付</v>
      </c>
      <c r="F699" s="2" t="str">
        <f t="shared" si="121"/>
        <v>０００１</v>
      </c>
      <c r="G699" s="2" t="str">
        <f>"3620003791"</f>
        <v>3620003791</v>
      </c>
      <c r="H699" s="2" t="str">
        <f t="shared" si="116"/>
        <v>001</v>
      </c>
      <c r="I699" s="2" t="str">
        <f t="shared" si="122"/>
        <v>4100401</v>
      </c>
      <c r="J699" s="2">
        <f>31400</f>
        <v>31400</v>
      </c>
      <c r="K699" s="2" t="str">
        <f t="shared" si="119"/>
        <v>脚</v>
      </c>
      <c r="L699" s="2" t="str">
        <f t="shared" si="123"/>
        <v>3630331</v>
      </c>
      <c r="M699" s="2" t="str">
        <f>""</f>
        <v/>
      </c>
    </row>
    <row r="700" spans="1:13" x14ac:dyDescent="0.15">
      <c r="A700" s="2" t="str">
        <f t="shared" si="117"/>
        <v>1881110500</v>
      </c>
      <c r="B700" s="2" t="str">
        <f t="shared" si="118"/>
        <v>佐伯・区政調整</v>
      </c>
      <c r="C700" s="2" t="str">
        <f t="shared" si="114"/>
        <v>01ｲ00311</v>
      </c>
      <c r="D700" s="2" t="str">
        <f t="shared" si="115"/>
        <v>肘掛椅子</v>
      </c>
      <c r="E700" s="3" t="str">
        <f t="shared" si="120"/>
        <v>肘付</v>
      </c>
      <c r="F700" s="2" t="str">
        <f t="shared" si="121"/>
        <v>０００１</v>
      </c>
      <c r="G700" s="2" t="str">
        <f>"3620003792"</f>
        <v>3620003792</v>
      </c>
      <c r="H700" s="2" t="str">
        <f t="shared" si="116"/>
        <v>001</v>
      </c>
      <c r="I700" s="2" t="str">
        <f t="shared" si="122"/>
        <v>4100401</v>
      </c>
      <c r="J700" s="2">
        <f>31400</f>
        <v>31400</v>
      </c>
      <c r="K700" s="2" t="str">
        <f t="shared" si="119"/>
        <v>脚</v>
      </c>
      <c r="L700" s="2" t="str">
        <f t="shared" si="123"/>
        <v>3630331</v>
      </c>
      <c r="M700" s="2" t="str">
        <f>""</f>
        <v/>
      </c>
    </row>
    <row r="701" spans="1:13" x14ac:dyDescent="0.15">
      <c r="A701" s="2" t="str">
        <f t="shared" si="117"/>
        <v>1881110500</v>
      </c>
      <c r="B701" s="2" t="str">
        <f t="shared" si="118"/>
        <v>佐伯・区政調整</v>
      </c>
      <c r="C701" s="2" t="str">
        <f t="shared" si="114"/>
        <v>01ｲ00311</v>
      </c>
      <c r="D701" s="2" t="str">
        <f t="shared" si="115"/>
        <v>肘掛椅子</v>
      </c>
      <c r="E701" s="3" t="str">
        <f t="shared" si="120"/>
        <v>肘付</v>
      </c>
      <c r="F701" s="2" t="str">
        <f t="shared" si="121"/>
        <v>０００１</v>
      </c>
      <c r="G701" s="2" t="str">
        <f>"3620003793"</f>
        <v>3620003793</v>
      </c>
      <c r="H701" s="2" t="str">
        <f t="shared" si="116"/>
        <v>001</v>
      </c>
      <c r="I701" s="2" t="str">
        <f t="shared" si="122"/>
        <v>4100401</v>
      </c>
      <c r="J701" s="2">
        <f>31400</f>
        <v>31400</v>
      </c>
      <c r="K701" s="2" t="str">
        <f t="shared" si="119"/>
        <v>脚</v>
      </c>
      <c r="L701" s="2" t="str">
        <f t="shared" si="123"/>
        <v>3630331</v>
      </c>
      <c r="M701" s="2" t="str">
        <f>""</f>
        <v/>
      </c>
    </row>
    <row r="702" spans="1:13" x14ac:dyDescent="0.15">
      <c r="A702" s="2" t="str">
        <f t="shared" si="117"/>
        <v>1881110500</v>
      </c>
      <c r="B702" s="2" t="str">
        <f t="shared" si="118"/>
        <v>佐伯・区政調整</v>
      </c>
      <c r="C702" s="2" t="str">
        <f t="shared" si="114"/>
        <v>01ｲ00311</v>
      </c>
      <c r="D702" s="2" t="str">
        <f t="shared" si="115"/>
        <v>肘掛椅子</v>
      </c>
      <c r="E702" s="3" t="str">
        <f t="shared" si="120"/>
        <v>肘付</v>
      </c>
      <c r="F702" s="2" t="str">
        <f t="shared" si="121"/>
        <v>０００１</v>
      </c>
      <c r="G702" s="2" t="str">
        <f>"3620003794"</f>
        <v>3620003794</v>
      </c>
      <c r="H702" s="2" t="str">
        <f t="shared" si="116"/>
        <v>001</v>
      </c>
      <c r="I702" s="2" t="str">
        <f t="shared" si="122"/>
        <v>4100401</v>
      </c>
      <c r="J702" s="2">
        <f>31400</f>
        <v>31400</v>
      </c>
      <c r="K702" s="2" t="str">
        <f t="shared" si="119"/>
        <v>脚</v>
      </c>
      <c r="L702" s="2" t="str">
        <f t="shared" si="123"/>
        <v>3630331</v>
      </c>
      <c r="M702" s="2" t="str">
        <f>""</f>
        <v/>
      </c>
    </row>
    <row r="703" spans="1:13" x14ac:dyDescent="0.15">
      <c r="A703" s="2" t="str">
        <f t="shared" si="117"/>
        <v>1881110500</v>
      </c>
      <c r="B703" s="2" t="str">
        <f t="shared" si="118"/>
        <v>佐伯・区政調整</v>
      </c>
      <c r="C703" s="2" t="str">
        <f t="shared" si="114"/>
        <v>01ｲ00311</v>
      </c>
      <c r="D703" s="2" t="str">
        <f t="shared" si="115"/>
        <v>肘掛椅子</v>
      </c>
      <c r="E703" s="3" t="str">
        <f t="shared" si="120"/>
        <v>肘付</v>
      </c>
      <c r="F703" s="2" t="str">
        <f t="shared" si="121"/>
        <v>０００１</v>
      </c>
      <c r="G703" s="2" t="str">
        <f>"3620003795"</f>
        <v>3620003795</v>
      </c>
      <c r="H703" s="2" t="str">
        <f t="shared" si="116"/>
        <v>001</v>
      </c>
      <c r="I703" s="2" t="str">
        <f t="shared" si="122"/>
        <v>4100401</v>
      </c>
      <c r="J703" s="2">
        <f>31400</f>
        <v>31400</v>
      </c>
      <c r="K703" s="2" t="str">
        <f t="shared" si="119"/>
        <v>脚</v>
      </c>
      <c r="L703" s="2" t="str">
        <f t="shared" si="123"/>
        <v>3630331</v>
      </c>
      <c r="M703" s="2" t="str">
        <f>""</f>
        <v/>
      </c>
    </row>
    <row r="704" spans="1:13" x14ac:dyDescent="0.15">
      <c r="A704" s="2" t="str">
        <f t="shared" si="117"/>
        <v>1881110500</v>
      </c>
      <c r="B704" s="2" t="str">
        <f t="shared" si="118"/>
        <v>佐伯・区政調整</v>
      </c>
      <c r="C704" s="2" t="str">
        <f t="shared" si="114"/>
        <v>01ｲ00311</v>
      </c>
      <c r="D704" s="2" t="str">
        <f t="shared" si="115"/>
        <v>肘掛椅子</v>
      </c>
      <c r="E704" s="3" t="str">
        <f t="shared" si="120"/>
        <v>肘付</v>
      </c>
      <c r="F704" s="2" t="str">
        <f t="shared" si="121"/>
        <v>０００１</v>
      </c>
      <c r="G704" s="2" t="str">
        <f>"3620003796"</f>
        <v>3620003796</v>
      </c>
      <c r="H704" s="2" t="str">
        <f t="shared" si="116"/>
        <v>001</v>
      </c>
      <c r="I704" s="2" t="str">
        <f t="shared" si="122"/>
        <v>4100401</v>
      </c>
      <c r="J704" s="2">
        <f>31400</f>
        <v>31400</v>
      </c>
      <c r="K704" s="2" t="str">
        <f t="shared" si="119"/>
        <v>脚</v>
      </c>
      <c r="L704" s="2" t="str">
        <f t="shared" si="123"/>
        <v>3630331</v>
      </c>
      <c r="M704" s="2" t="str">
        <f>""</f>
        <v/>
      </c>
    </row>
    <row r="705" spans="1:13" x14ac:dyDescent="0.15">
      <c r="A705" s="2" t="str">
        <f t="shared" si="117"/>
        <v>1881110500</v>
      </c>
      <c r="B705" s="2" t="str">
        <f t="shared" si="118"/>
        <v>佐伯・区政調整</v>
      </c>
      <c r="C705" s="2" t="str">
        <f t="shared" si="114"/>
        <v>01ｲ00311</v>
      </c>
      <c r="D705" s="2" t="str">
        <f t="shared" si="115"/>
        <v>肘掛椅子</v>
      </c>
      <c r="E705" s="3" t="str">
        <f t="shared" si="120"/>
        <v>肘付</v>
      </c>
      <c r="F705" s="2" t="str">
        <f t="shared" si="121"/>
        <v>０００１</v>
      </c>
      <c r="G705" s="2" t="str">
        <f>"3620003797"</f>
        <v>3620003797</v>
      </c>
      <c r="H705" s="2" t="str">
        <f t="shared" si="116"/>
        <v>001</v>
      </c>
      <c r="I705" s="2" t="str">
        <f t="shared" si="122"/>
        <v>4100401</v>
      </c>
      <c r="J705" s="2">
        <f>31400</f>
        <v>31400</v>
      </c>
      <c r="K705" s="2" t="str">
        <f t="shared" si="119"/>
        <v>脚</v>
      </c>
      <c r="L705" s="2" t="str">
        <f t="shared" si="123"/>
        <v>3630331</v>
      </c>
      <c r="M705" s="2" t="str">
        <f>""</f>
        <v/>
      </c>
    </row>
    <row r="706" spans="1:13" x14ac:dyDescent="0.15">
      <c r="A706" s="2" t="str">
        <f t="shared" si="117"/>
        <v>1881110500</v>
      </c>
      <c r="B706" s="2" t="str">
        <f t="shared" si="118"/>
        <v>佐伯・区政調整</v>
      </c>
      <c r="C706" s="2" t="str">
        <f t="shared" si="114"/>
        <v>01ｲ00311</v>
      </c>
      <c r="D706" s="2" t="str">
        <f t="shared" si="115"/>
        <v>肘掛椅子</v>
      </c>
      <c r="E706" s="3" t="str">
        <f t="shared" si="120"/>
        <v>肘付</v>
      </c>
      <c r="F706" s="2" t="str">
        <f t="shared" si="121"/>
        <v>０００１</v>
      </c>
      <c r="G706" s="2" t="str">
        <f>"3620003798"</f>
        <v>3620003798</v>
      </c>
      <c r="H706" s="2" t="str">
        <f t="shared" si="116"/>
        <v>001</v>
      </c>
      <c r="I706" s="2" t="str">
        <f t="shared" si="122"/>
        <v>4100401</v>
      </c>
      <c r="J706" s="2">
        <f>31400</f>
        <v>31400</v>
      </c>
      <c r="K706" s="2" t="str">
        <f t="shared" si="119"/>
        <v>脚</v>
      </c>
      <c r="L706" s="2" t="str">
        <f t="shared" si="123"/>
        <v>3630331</v>
      </c>
      <c r="M706" s="2" t="str">
        <f>""</f>
        <v/>
      </c>
    </row>
    <row r="707" spans="1:13" x14ac:dyDescent="0.15">
      <c r="A707" s="2" t="str">
        <f t="shared" si="117"/>
        <v>1881110500</v>
      </c>
      <c r="B707" s="2" t="str">
        <f t="shared" si="118"/>
        <v>佐伯・区政調整</v>
      </c>
      <c r="C707" s="2" t="str">
        <f t="shared" si="114"/>
        <v>01ｲ00311</v>
      </c>
      <c r="D707" s="2" t="str">
        <f t="shared" si="115"/>
        <v>肘掛椅子</v>
      </c>
      <c r="E707" s="3" t="str">
        <f t="shared" si="120"/>
        <v>肘付</v>
      </c>
      <c r="F707" s="2" t="str">
        <f t="shared" si="121"/>
        <v>０００１</v>
      </c>
      <c r="G707" s="2" t="str">
        <f>"3620003799"</f>
        <v>3620003799</v>
      </c>
      <c r="H707" s="2" t="str">
        <f t="shared" si="116"/>
        <v>001</v>
      </c>
      <c r="I707" s="2" t="str">
        <f t="shared" si="122"/>
        <v>4100401</v>
      </c>
      <c r="J707" s="2">
        <f>31400</f>
        <v>31400</v>
      </c>
      <c r="K707" s="2" t="str">
        <f t="shared" si="119"/>
        <v>脚</v>
      </c>
      <c r="L707" s="2" t="str">
        <f t="shared" si="123"/>
        <v>3630331</v>
      </c>
      <c r="M707" s="2" t="str">
        <f>""</f>
        <v/>
      </c>
    </row>
    <row r="708" spans="1:13" x14ac:dyDescent="0.15">
      <c r="A708" s="2" t="str">
        <f t="shared" si="117"/>
        <v>1881110500</v>
      </c>
      <c r="B708" s="2" t="str">
        <f t="shared" si="118"/>
        <v>佐伯・区政調整</v>
      </c>
      <c r="C708" s="2" t="str">
        <f t="shared" si="114"/>
        <v>01ｲ00311</v>
      </c>
      <c r="D708" s="2" t="str">
        <f t="shared" si="115"/>
        <v>肘掛椅子</v>
      </c>
      <c r="E708" s="3" t="str">
        <f t="shared" si="120"/>
        <v>肘付</v>
      </c>
      <c r="F708" s="2" t="str">
        <f t="shared" si="121"/>
        <v>０００１</v>
      </c>
      <c r="G708" s="2" t="str">
        <f>"3620003800"</f>
        <v>3620003800</v>
      </c>
      <c r="H708" s="2" t="str">
        <f t="shared" si="116"/>
        <v>001</v>
      </c>
      <c r="I708" s="2" t="str">
        <f t="shared" si="122"/>
        <v>4100401</v>
      </c>
      <c r="J708" s="2">
        <f>31400</f>
        <v>31400</v>
      </c>
      <c r="K708" s="2" t="str">
        <f t="shared" si="119"/>
        <v>脚</v>
      </c>
      <c r="L708" s="2" t="str">
        <f t="shared" si="123"/>
        <v>3630331</v>
      </c>
      <c r="M708" s="2" t="str">
        <f>""</f>
        <v/>
      </c>
    </row>
    <row r="709" spans="1:13" x14ac:dyDescent="0.15">
      <c r="A709" s="2" t="str">
        <f t="shared" si="117"/>
        <v>1881110500</v>
      </c>
      <c r="B709" s="2" t="str">
        <f t="shared" si="118"/>
        <v>佐伯・区政調整</v>
      </c>
      <c r="C709" s="2" t="str">
        <f t="shared" si="114"/>
        <v>01ｲ00311</v>
      </c>
      <c r="D709" s="2" t="str">
        <f t="shared" si="115"/>
        <v>肘掛椅子</v>
      </c>
      <c r="E709" s="3" t="str">
        <f t="shared" si="120"/>
        <v>肘付</v>
      </c>
      <c r="F709" s="2" t="str">
        <f t="shared" si="121"/>
        <v>０００１</v>
      </c>
      <c r="G709" s="2" t="str">
        <f>"3620003801"</f>
        <v>3620003801</v>
      </c>
      <c r="H709" s="2" t="str">
        <f t="shared" si="116"/>
        <v>001</v>
      </c>
      <c r="I709" s="2" t="str">
        <f t="shared" si="122"/>
        <v>4100401</v>
      </c>
      <c r="J709" s="2">
        <f>31400</f>
        <v>31400</v>
      </c>
      <c r="K709" s="2" t="str">
        <f t="shared" si="119"/>
        <v>脚</v>
      </c>
      <c r="L709" s="2" t="str">
        <f t="shared" si="123"/>
        <v>3630331</v>
      </c>
      <c r="M709" s="2" t="str">
        <f>""</f>
        <v/>
      </c>
    </row>
    <row r="710" spans="1:13" x14ac:dyDescent="0.15">
      <c r="A710" s="2" t="str">
        <f t="shared" si="117"/>
        <v>1881110500</v>
      </c>
      <c r="B710" s="2" t="str">
        <f t="shared" si="118"/>
        <v>佐伯・区政調整</v>
      </c>
      <c r="C710" s="2" t="str">
        <f t="shared" si="114"/>
        <v>01ｲ00311</v>
      </c>
      <c r="D710" s="2" t="str">
        <f t="shared" si="115"/>
        <v>肘掛椅子</v>
      </c>
      <c r="E710" s="3" t="str">
        <f t="shared" si="120"/>
        <v>肘付</v>
      </c>
      <c r="F710" s="2" t="str">
        <f t="shared" si="121"/>
        <v>０００１</v>
      </c>
      <c r="G710" s="2" t="str">
        <f>"3620003802"</f>
        <v>3620003802</v>
      </c>
      <c r="H710" s="2" t="str">
        <f t="shared" si="116"/>
        <v>001</v>
      </c>
      <c r="I710" s="2" t="str">
        <f t="shared" si="122"/>
        <v>4100401</v>
      </c>
      <c r="J710" s="2">
        <f>31400</f>
        <v>31400</v>
      </c>
      <c r="K710" s="2" t="str">
        <f t="shared" si="119"/>
        <v>脚</v>
      </c>
      <c r="L710" s="2" t="str">
        <f t="shared" si="123"/>
        <v>3630331</v>
      </c>
      <c r="M710" s="2" t="str">
        <f>""</f>
        <v/>
      </c>
    </row>
    <row r="711" spans="1:13" x14ac:dyDescent="0.15">
      <c r="A711" s="2" t="str">
        <f t="shared" si="117"/>
        <v>1881110500</v>
      </c>
      <c r="B711" s="2" t="str">
        <f t="shared" si="118"/>
        <v>佐伯・区政調整</v>
      </c>
      <c r="C711" s="2" t="str">
        <f t="shared" si="114"/>
        <v>01ｲ00311</v>
      </c>
      <c r="D711" s="2" t="str">
        <f t="shared" si="115"/>
        <v>肘掛椅子</v>
      </c>
      <c r="E711" s="3" t="str">
        <f t="shared" si="120"/>
        <v>肘付</v>
      </c>
      <c r="F711" s="2" t="str">
        <f t="shared" si="121"/>
        <v>０００１</v>
      </c>
      <c r="G711" s="2" t="str">
        <f>"3620003803"</f>
        <v>3620003803</v>
      </c>
      <c r="H711" s="2" t="str">
        <f t="shared" si="116"/>
        <v>001</v>
      </c>
      <c r="I711" s="2" t="str">
        <f t="shared" si="122"/>
        <v>4100401</v>
      </c>
      <c r="J711" s="2">
        <f>31400</f>
        <v>31400</v>
      </c>
      <c r="K711" s="2" t="str">
        <f t="shared" si="119"/>
        <v>脚</v>
      </c>
      <c r="L711" s="2" t="str">
        <f t="shared" si="123"/>
        <v>3630331</v>
      </c>
      <c r="M711" s="2" t="str">
        <f>""</f>
        <v/>
      </c>
    </row>
    <row r="712" spans="1:13" x14ac:dyDescent="0.15">
      <c r="A712" s="2" t="str">
        <f t="shared" si="117"/>
        <v>1881110500</v>
      </c>
      <c r="B712" s="2" t="str">
        <f t="shared" si="118"/>
        <v>佐伯・区政調整</v>
      </c>
      <c r="C712" s="2" t="str">
        <f t="shared" si="114"/>
        <v>01ｲ00311</v>
      </c>
      <c r="D712" s="2" t="str">
        <f t="shared" si="115"/>
        <v>肘掛椅子</v>
      </c>
      <c r="E712" s="3" t="str">
        <f t="shared" si="120"/>
        <v>肘付</v>
      </c>
      <c r="F712" s="2" t="str">
        <f t="shared" si="121"/>
        <v>０００１</v>
      </c>
      <c r="G712" s="2" t="str">
        <f>"3620003804"</f>
        <v>3620003804</v>
      </c>
      <c r="H712" s="2" t="str">
        <f t="shared" si="116"/>
        <v>001</v>
      </c>
      <c r="I712" s="2" t="str">
        <f t="shared" si="122"/>
        <v>4100401</v>
      </c>
      <c r="J712" s="2">
        <f>31400</f>
        <v>31400</v>
      </c>
      <c r="K712" s="2" t="str">
        <f t="shared" si="119"/>
        <v>脚</v>
      </c>
      <c r="L712" s="2" t="str">
        <f t="shared" si="123"/>
        <v>3630331</v>
      </c>
      <c r="M712" s="2" t="str">
        <f>""</f>
        <v/>
      </c>
    </row>
    <row r="713" spans="1:13" x14ac:dyDescent="0.15">
      <c r="A713" s="2" t="str">
        <f t="shared" si="117"/>
        <v>1881110500</v>
      </c>
      <c r="B713" s="2" t="str">
        <f t="shared" si="118"/>
        <v>佐伯・区政調整</v>
      </c>
      <c r="C713" s="2" t="str">
        <f t="shared" si="114"/>
        <v>01ｲ00311</v>
      </c>
      <c r="D713" s="2" t="str">
        <f t="shared" si="115"/>
        <v>肘掛椅子</v>
      </c>
      <c r="E713" s="3" t="str">
        <f t="shared" si="120"/>
        <v>肘付</v>
      </c>
      <c r="F713" s="2" t="str">
        <f t="shared" si="121"/>
        <v>０００１</v>
      </c>
      <c r="G713" s="2" t="str">
        <f>"3620003805"</f>
        <v>3620003805</v>
      </c>
      <c r="H713" s="2" t="str">
        <f t="shared" si="116"/>
        <v>001</v>
      </c>
      <c r="I713" s="2" t="str">
        <f t="shared" si="122"/>
        <v>4100401</v>
      </c>
      <c r="J713" s="2">
        <f>31400</f>
        <v>31400</v>
      </c>
      <c r="K713" s="2" t="str">
        <f t="shared" si="119"/>
        <v>脚</v>
      </c>
      <c r="L713" s="2" t="str">
        <f t="shared" si="123"/>
        <v>3630331</v>
      </c>
      <c r="M713" s="2" t="str">
        <f>""</f>
        <v/>
      </c>
    </row>
    <row r="714" spans="1:13" x14ac:dyDescent="0.15">
      <c r="A714" s="2" t="str">
        <f t="shared" si="117"/>
        <v>1881110500</v>
      </c>
      <c r="B714" s="2" t="str">
        <f t="shared" si="118"/>
        <v>佐伯・区政調整</v>
      </c>
      <c r="C714" s="2" t="str">
        <f t="shared" ref="C714:C777" si="124">"01ｲ00311"</f>
        <v>01ｲ00311</v>
      </c>
      <c r="D714" s="2" t="str">
        <f t="shared" ref="D714:D777" si="125">"肘掛椅子"</f>
        <v>肘掛椅子</v>
      </c>
      <c r="E714" s="3" t="str">
        <f t="shared" si="120"/>
        <v>肘付</v>
      </c>
      <c r="F714" s="2" t="str">
        <f t="shared" si="121"/>
        <v>０００１</v>
      </c>
      <c r="G714" s="2" t="str">
        <f>"3620003806"</f>
        <v>3620003806</v>
      </c>
      <c r="H714" s="2" t="str">
        <f t="shared" ref="H714:H777" si="126">"001"</f>
        <v>001</v>
      </c>
      <c r="I714" s="2" t="str">
        <f t="shared" si="122"/>
        <v>4100401</v>
      </c>
      <c r="J714" s="2">
        <f>31400</f>
        <v>31400</v>
      </c>
      <c r="K714" s="2" t="str">
        <f t="shared" si="119"/>
        <v>脚</v>
      </c>
      <c r="L714" s="2" t="str">
        <f t="shared" si="123"/>
        <v>3630331</v>
      </c>
      <c r="M714" s="2" t="str">
        <f>""</f>
        <v/>
      </c>
    </row>
    <row r="715" spans="1:13" x14ac:dyDescent="0.15">
      <c r="A715" s="2" t="str">
        <f t="shared" si="117"/>
        <v>1881110500</v>
      </c>
      <c r="B715" s="2" t="str">
        <f t="shared" si="118"/>
        <v>佐伯・区政調整</v>
      </c>
      <c r="C715" s="2" t="str">
        <f t="shared" si="124"/>
        <v>01ｲ00311</v>
      </c>
      <c r="D715" s="2" t="str">
        <f t="shared" si="125"/>
        <v>肘掛椅子</v>
      </c>
      <c r="E715" s="3" t="str">
        <f t="shared" si="120"/>
        <v>肘付</v>
      </c>
      <c r="F715" s="2" t="str">
        <f t="shared" si="121"/>
        <v>０００１</v>
      </c>
      <c r="G715" s="2" t="str">
        <f>"3620003807"</f>
        <v>3620003807</v>
      </c>
      <c r="H715" s="2" t="str">
        <f t="shared" si="126"/>
        <v>001</v>
      </c>
      <c r="I715" s="2" t="str">
        <f t="shared" si="122"/>
        <v>4100401</v>
      </c>
      <c r="J715" s="2">
        <f>31400</f>
        <v>31400</v>
      </c>
      <c r="K715" s="2" t="str">
        <f t="shared" si="119"/>
        <v>脚</v>
      </c>
      <c r="L715" s="2" t="str">
        <f t="shared" si="123"/>
        <v>3630331</v>
      </c>
      <c r="M715" s="2" t="str">
        <f>""</f>
        <v/>
      </c>
    </row>
    <row r="716" spans="1:13" x14ac:dyDescent="0.15">
      <c r="A716" s="2" t="str">
        <f t="shared" si="117"/>
        <v>1881110500</v>
      </c>
      <c r="B716" s="2" t="str">
        <f t="shared" si="118"/>
        <v>佐伯・区政調整</v>
      </c>
      <c r="C716" s="2" t="str">
        <f t="shared" si="124"/>
        <v>01ｲ00311</v>
      </c>
      <c r="D716" s="2" t="str">
        <f t="shared" si="125"/>
        <v>肘掛椅子</v>
      </c>
      <c r="E716" s="3" t="str">
        <f t="shared" si="120"/>
        <v>肘付</v>
      </c>
      <c r="F716" s="2" t="str">
        <f t="shared" si="121"/>
        <v>０００１</v>
      </c>
      <c r="G716" s="2" t="str">
        <f>"3620003808"</f>
        <v>3620003808</v>
      </c>
      <c r="H716" s="2" t="str">
        <f t="shared" si="126"/>
        <v>001</v>
      </c>
      <c r="I716" s="2" t="str">
        <f t="shared" si="122"/>
        <v>4100401</v>
      </c>
      <c r="J716" s="2">
        <f>31400</f>
        <v>31400</v>
      </c>
      <c r="K716" s="2" t="str">
        <f t="shared" si="119"/>
        <v>脚</v>
      </c>
      <c r="L716" s="2" t="str">
        <f t="shared" si="123"/>
        <v>3630331</v>
      </c>
      <c r="M716" s="2" t="str">
        <f>""</f>
        <v/>
      </c>
    </row>
    <row r="717" spans="1:13" x14ac:dyDescent="0.15">
      <c r="A717" s="2" t="str">
        <f t="shared" si="117"/>
        <v>1881110500</v>
      </c>
      <c r="B717" s="2" t="str">
        <f t="shared" si="118"/>
        <v>佐伯・区政調整</v>
      </c>
      <c r="C717" s="2" t="str">
        <f t="shared" si="124"/>
        <v>01ｲ00311</v>
      </c>
      <c r="D717" s="2" t="str">
        <f t="shared" si="125"/>
        <v>肘掛椅子</v>
      </c>
      <c r="E717" s="3" t="str">
        <f t="shared" si="120"/>
        <v>肘付</v>
      </c>
      <c r="F717" s="2" t="str">
        <f t="shared" si="121"/>
        <v>０００１</v>
      </c>
      <c r="G717" s="2" t="str">
        <f>"3620003809"</f>
        <v>3620003809</v>
      </c>
      <c r="H717" s="2" t="str">
        <f t="shared" si="126"/>
        <v>001</v>
      </c>
      <c r="I717" s="2" t="str">
        <f t="shared" si="122"/>
        <v>4100401</v>
      </c>
      <c r="J717" s="2">
        <f>31400</f>
        <v>31400</v>
      </c>
      <c r="K717" s="2" t="str">
        <f t="shared" si="119"/>
        <v>脚</v>
      </c>
      <c r="L717" s="2" t="str">
        <f t="shared" si="123"/>
        <v>3630331</v>
      </c>
      <c r="M717" s="2" t="str">
        <f>""</f>
        <v/>
      </c>
    </row>
    <row r="718" spans="1:13" x14ac:dyDescent="0.15">
      <c r="A718" s="2" t="str">
        <f t="shared" si="117"/>
        <v>1881110500</v>
      </c>
      <c r="B718" s="2" t="str">
        <f t="shared" si="118"/>
        <v>佐伯・区政調整</v>
      </c>
      <c r="C718" s="2" t="str">
        <f t="shared" si="124"/>
        <v>01ｲ00311</v>
      </c>
      <c r="D718" s="2" t="str">
        <f t="shared" si="125"/>
        <v>肘掛椅子</v>
      </c>
      <c r="E718" s="3" t="str">
        <f t="shared" si="120"/>
        <v>肘付</v>
      </c>
      <c r="F718" s="2" t="str">
        <f t="shared" si="121"/>
        <v>０００１</v>
      </c>
      <c r="G718" s="2" t="str">
        <f>"3620003810"</f>
        <v>3620003810</v>
      </c>
      <c r="H718" s="2" t="str">
        <f t="shared" si="126"/>
        <v>001</v>
      </c>
      <c r="I718" s="2" t="str">
        <f t="shared" si="122"/>
        <v>4100401</v>
      </c>
      <c r="J718" s="2">
        <f>31400</f>
        <v>31400</v>
      </c>
      <c r="K718" s="2" t="str">
        <f t="shared" si="119"/>
        <v>脚</v>
      </c>
      <c r="L718" s="2" t="str">
        <f t="shared" si="123"/>
        <v>3630331</v>
      </c>
      <c r="M718" s="2" t="str">
        <f>""</f>
        <v/>
      </c>
    </row>
    <row r="719" spans="1:13" x14ac:dyDescent="0.15">
      <c r="A719" s="2" t="str">
        <f t="shared" si="117"/>
        <v>1881110500</v>
      </c>
      <c r="B719" s="2" t="str">
        <f t="shared" si="118"/>
        <v>佐伯・区政調整</v>
      </c>
      <c r="C719" s="2" t="str">
        <f t="shared" si="124"/>
        <v>01ｲ00311</v>
      </c>
      <c r="D719" s="2" t="str">
        <f t="shared" si="125"/>
        <v>肘掛椅子</v>
      </c>
      <c r="E719" s="3" t="str">
        <f t="shared" si="120"/>
        <v>肘付</v>
      </c>
      <c r="F719" s="2" t="str">
        <f t="shared" si="121"/>
        <v>０００１</v>
      </c>
      <c r="G719" s="2" t="str">
        <f>"3620003811"</f>
        <v>3620003811</v>
      </c>
      <c r="H719" s="2" t="str">
        <f t="shared" si="126"/>
        <v>001</v>
      </c>
      <c r="I719" s="2" t="str">
        <f t="shared" si="122"/>
        <v>4100401</v>
      </c>
      <c r="J719" s="2">
        <f>31400</f>
        <v>31400</v>
      </c>
      <c r="K719" s="2" t="str">
        <f t="shared" si="119"/>
        <v>脚</v>
      </c>
      <c r="L719" s="2" t="str">
        <f t="shared" si="123"/>
        <v>3630331</v>
      </c>
      <c r="M719" s="2" t="str">
        <f>""</f>
        <v/>
      </c>
    </row>
    <row r="720" spans="1:13" x14ac:dyDescent="0.15">
      <c r="A720" s="2" t="str">
        <f t="shared" si="117"/>
        <v>1881110500</v>
      </c>
      <c r="B720" s="2" t="str">
        <f t="shared" si="118"/>
        <v>佐伯・区政調整</v>
      </c>
      <c r="C720" s="2" t="str">
        <f t="shared" si="124"/>
        <v>01ｲ00311</v>
      </c>
      <c r="D720" s="2" t="str">
        <f t="shared" si="125"/>
        <v>肘掛椅子</v>
      </c>
      <c r="E720" s="3" t="str">
        <f t="shared" si="120"/>
        <v>肘付</v>
      </c>
      <c r="F720" s="2" t="str">
        <f t="shared" si="121"/>
        <v>０００１</v>
      </c>
      <c r="G720" s="2" t="str">
        <f>"3620003812"</f>
        <v>3620003812</v>
      </c>
      <c r="H720" s="2" t="str">
        <f t="shared" si="126"/>
        <v>001</v>
      </c>
      <c r="I720" s="2" t="str">
        <f t="shared" si="122"/>
        <v>4100401</v>
      </c>
      <c r="J720" s="2">
        <f>31400</f>
        <v>31400</v>
      </c>
      <c r="K720" s="2" t="str">
        <f t="shared" si="119"/>
        <v>脚</v>
      </c>
      <c r="L720" s="2" t="str">
        <f t="shared" si="123"/>
        <v>3630331</v>
      </c>
      <c r="M720" s="2" t="str">
        <f>""</f>
        <v/>
      </c>
    </row>
    <row r="721" spans="1:13" x14ac:dyDescent="0.15">
      <c r="A721" s="2" t="str">
        <f t="shared" si="117"/>
        <v>1881110500</v>
      </c>
      <c r="B721" s="2" t="str">
        <f t="shared" si="118"/>
        <v>佐伯・区政調整</v>
      </c>
      <c r="C721" s="2" t="str">
        <f t="shared" si="124"/>
        <v>01ｲ00311</v>
      </c>
      <c r="D721" s="2" t="str">
        <f t="shared" si="125"/>
        <v>肘掛椅子</v>
      </c>
      <c r="E721" s="3" t="str">
        <f t="shared" si="120"/>
        <v>肘付</v>
      </c>
      <c r="F721" s="2" t="str">
        <f t="shared" si="121"/>
        <v>０００１</v>
      </c>
      <c r="G721" s="2" t="str">
        <f>"3620003813"</f>
        <v>3620003813</v>
      </c>
      <c r="H721" s="2" t="str">
        <f t="shared" si="126"/>
        <v>001</v>
      </c>
      <c r="I721" s="2" t="str">
        <f t="shared" si="122"/>
        <v>4100401</v>
      </c>
      <c r="J721" s="2">
        <f>31400</f>
        <v>31400</v>
      </c>
      <c r="K721" s="2" t="str">
        <f t="shared" si="119"/>
        <v>脚</v>
      </c>
      <c r="L721" s="2" t="str">
        <f t="shared" si="123"/>
        <v>3630331</v>
      </c>
      <c r="M721" s="2" t="str">
        <f>""</f>
        <v/>
      </c>
    </row>
    <row r="722" spans="1:13" x14ac:dyDescent="0.15">
      <c r="A722" s="2" t="str">
        <f t="shared" si="117"/>
        <v>1881110500</v>
      </c>
      <c r="B722" s="2" t="str">
        <f t="shared" si="118"/>
        <v>佐伯・区政調整</v>
      </c>
      <c r="C722" s="2" t="str">
        <f t="shared" si="124"/>
        <v>01ｲ00311</v>
      </c>
      <c r="D722" s="2" t="str">
        <f t="shared" si="125"/>
        <v>肘掛椅子</v>
      </c>
      <c r="E722" s="3" t="str">
        <f t="shared" si="120"/>
        <v>肘付</v>
      </c>
      <c r="F722" s="2" t="str">
        <f t="shared" si="121"/>
        <v>０００１</v>
      </c>
      <c r="G722" s="2" t="str">
        <f>"3620003814"</f>
        <v>3620003814</v>
      </c>
      <c r="H722" s="2" t="str">
        <f t="shared" si="126"/>
        <v>001</v>
      </c>
      <c r="I722" s="2" t="str">
        <f t="shared" si="122"/>
        <v>4100401</v>
      </c>
      <c r="J722" s="2">
        <f>31400</f>
        <v>31400</v>
      </c>
      <c r="K722" s="2" t="str">
        <f t="shared" si="119"/>
        <v>脚</v>
      </c>
      <c r="L722" s="2" t="str">
        <f t="shared" si="123"/>
        <v>3630331</v>
      </c>
      <c r="M722" s="2" t="str">
        <f>""</f>
        <v/>
      </c>
    </row>
    <row r="723" spans="1:13" x14ac:dyDescent="0.15">
      <c r="A723" s="2" t="str">
        <f t="shared" si="117"/>
        <v>1881110500</v>
      </c>
      <c r="B723" s="2" t="str">
        <f t="shared" si="118"/>
        <v>佐伯・区政調整</v>
      </c>
      <c r="C723" s="2" t="str">
        <f t="shared" si="124"/>
        <v>01ｲ00311</v>
      </c>
      <c r="D723" s="2" t="str">
        <f t="shared" si="125"/>
        <v>肘掛椅子</v>
      </c>
      <c r="E723" s="3" t="str">
        <f t="shared" si="120"/>
        <v>肘付</v>
      </c>
      <c r="F723" s="2" t="str">
        <f t="shared" si="121"/>
        <v>０００１</v>
      </c>
      <c r="G723" s="2" t="str">
        <f>"3620003815"</f>
        <v>3620003815</v>
      </c>
      <c r="H723" s="2" t="str">
        <f t="shared" si="126"/>
        <v>001</v>
      </c>
      <c r="I723" s="2" t="str">
        <f t="shared" si="122"/>
        <v>4100401</v>
      </c>
      <c r="J723" s="2">
        <f>31400</f>
        <v>31400</v>
      </c>
      <c r="K723" s="2" t="str">
        <f t="shared" si="119"/>
        <v>脚</v>
      </c>
      <c r="L723" s="2" t="str">
        <f t="shared" si="123"/>
        <v>3630331</v>
      </c>
      <c r="M723" s="2" t="str">
        <f>""</f>
        <v/>
      </c>
    </row>
    <row r="724" spans="1:13" x14ac:dyDescent="0.15">
      <c r="A724" s="2" t="str">
        <f t="shared" si="117"/>
        <v>1881110500</v>
      </c>
      <c r="B724" s="2" t="str">
        <f t="shared" si="118"/>
        <v>佐伯・区政調整</v>
      </c>
      <c r="C724" s="2" t="str">
        <f t="shared" si="124"/>
        <v>01ｲ00311</v>
      </c>
      <c r="D724" s="2" t="str">
        <f t="shared" si="125"/>
        <v>肘掛椅子</v>
      </c>
      <c r="E724" s="3" t="str">
        <f t="shared" si="120"/>
        <v>肘付</v>
      </c>
      <c r="F724" s="2" t="str">
        <f t="shared" si="121"/>
        <v>０００１</v>
      </c>
      <c r="G724" s="2" t="str">
        <f>"3620003816"</f>
        <v>3620003816</v>
      </c>
      <c r="H724" s="2" t="str">
        <f t="shared" si="126"/>
        <v>001</v>
      </c>
      <c r="I724" s="2" t="str">
        <f t="shared" si="122"/>
        <v>4100401</v>
      </c>
      <c r="J724" s="2">
        <f>31400</f>
        <v>31400</v>
      </c>
      <c r="K724" s="2" t="str">
        <f t="shared" si="119"/>
        <v>脚</v>
      </c>
      <c r="L724" s="2" t="str">
        <f t="shared" si="123"/>
        <v>3630331</v>
      </c>
      <c r="M724" s="2" t="str">
        <f>""</f>
        <v/>
      </c>
    </row>
    <row r="725" spans="1:13" x14ac:dyDescent="0.15">
      <c r="A725" s="2" t="str">
        <f t="shared" si="117"/>
        <v>1881110500</v>
      </c>
      <c r="B725" s="2" t="str">
        <f t="shared" si="118"/>
        <v>佐伯・区政調整</v>
      </c>
      <c r="C725" s="2" t="str">
        <f t="shared" si="124"/>
        <v>01ｲ00311</v>
      </c>
      <c r="D725" s="2" t="str">
        <f t="shared" si="125"/>
        <v>肘掛椅子</v>
      </c>
      <c r="E725" s="3" t="str">
        <f t="shared" si="120"/>
        <v>肘付</v>
      </c>
      <c r="F725" s="2" t="str">
        <f t="shared" si="121"/>
        <v>０００１</v>
      </c>
      <c r="G725" s="2" t="str">
        <f>"3620003817"</f>
        <v>3620003817</v>
      </c>
      <c r="H725" s="2" t="str">
        <f t="shared" si="126"/>
        <v>001</v>
      </c>
      <c r="I725" s="2" t="str">
        <f t="shared" si="122"/>
        <v>4100401</v>
      </c>
      <c r="J725" s="2">
        <f>31400</f>
        <v>31400</v>
      </c>
      <c r="K725" s="2" t="str">
        <f t="shared" si="119"/>
        <v>脚</v>
      </c>
      <c r="L725" s="2" t="str">
        <f t="shared" si="123"/>
        <v>3630331</v>
      </c>
      <c r="M725" s="2" t="str">
        <f>""</f>
        <v/>
      </c>
    </row>
    <row r="726" spans="1:13" x14ac:dyDescent="0.15">
      <c r="A726" s="2" t="str">
        <f t="shared" si="117"/>
        <v>1881110500</v>
      </c>
      <c r="B726" s="2" t="str">
        <f t="shared" si="118"/>
        <v>佐伯・区政調整</v>
      </c>
      <c r="C726" s="2" t="str">
        <f t="shared" si="124"/>
        <v>01ｲ00311</v>
      </c>
      <c r="D726" s="2" t="str">
        <f t="shared" si="125"/>
        <v>肘掛椅子</v>
      </c>
      <c r="E726" s="3" t="str">
        <f t="shared" si="120"/>
        <v>肘付</v>
      </c>
      <c r="F726" s="2" t="str">
        <f t="shared" si="121"/>
        <v>０００１</v>
      </c>
      <c r="G726" s="2" t="str">
        <f>"3620003818"</f>
        <v>3620003818</v>
      </c>
      <c r="H726" s="2" t="str">
        <f t="shared" si="126"/>
        <v>001</v>
      </c>
      <c r="I726" s="2" t="str">
        <f t="shared" si="122"/>
        <v>4100401</v>
      </c>
      <c r="J726" s="2">
        <f>31400</f>
        <v>31400</v>
      </c>
      <c r="K726" s="2" t="str">
        <f t="shared" si="119"/>
        <v>脚</v>
      </c>
      <c r="L726" s="2" t="str">
        <f t="shared" si="123"/>
        <v>3630331</v>
      </c>
      <c r="M726" s="2" t="str">
        <f>""</f>
        <v/>
      </c>
    </row>
    <row r="727" spans="1:13" x14ac:dyDescent="0.15">
      <c r="A727" s="2" t="str">
        <f t="shared" si="117"/>
        <v>1881110500</v>
      </c>
      <c r="B727" s="2" t="str">
        <f t="shared" si="118"/>
        <v>佐伯・区政調整</v>
      </c>
      <c r="C727" s="2" t="str">
        <f t="shared" si="124"/>
        <v>01ｲ00311</v>
      </c>
      <c r="D727" s="2" t="str">
        <f t="shared" si="125"/>
        <v>肘掛椅子</v>
      </c>
      <c r="E727" s="3" t="str">
        <f t="shared" si="120"/>
        <v>肘付</v>
      </c>
      <c r="F727" s="2" t="str">
        <f t="shared" si="121"/>
        <v>０００１</v>
      </c>
      <c r="G727" s="2" t="str">
        <f>"3620003819"</f>
        <v>3620003819</v>
      </c>
      <c r="H727" s="2" t="str">
        <f t="shared" si="126"/>
        <v>001</v>
      </c>
      <c r="I727" s="2" t="str">
        <f t="shared" si="122"/>
        <v>4100401</v>
      </c>
      <c r="J727" s="2">
        <f>31400</f>
        <v>31400</v>
      </c>
      <c r="K727" s="2" t="str">
        <f t="shared" si="119"/>
        <v>脚</v>
      </c>
      <c r="L727" s="2" t="str">
        <f t="shared" si="123"/>
        <v>3630331</v>
      </c>
      <c r="M727" s="2" t="str">
        <f>""</f>
        <v/>
      </c>
    </row>
    <row r="728" spans="1:13" x14ac:dyDescent="0.15">
      <c r="A728" s="2" t="str">
        <f t="shared" si="117"/>
        <v>1881110500</v>
      </c>
      <c r="B728" s="2" t="str">
        <f t="shared" si="118"/>
        <v>佐伯・区政調整</v>
      </c>
      <c r="C728" s="2" t="str">
        <f t="shared" si="124"/>
        <v>01ｲ00311</v>
      </c>
      <c r="D728" s="2" t="str">
        <f t="shared" si="125"/>
        <v>肘掛椅子</v>
      </c>
      <c r="E728" s="3" t="str">
        <f t="shared" si="120"/>
        <v>肘付</v>
      </c>
      <c r="F728" s="2" t="str">
        <f t="shared" si="121"/>
        <v>０００１</v>
      </c>
      <c r="G728" s="2" t="str">
        <f>"3620003820"</f>
        <v>3620003820</v>
      </c>
      <c r="H728" s="2" t="str">
        <f t="shared" si="126"/>
        <v>001</v>
      </c>
      <c r="I728" s="2" t="str">
        <f t="shared" si="122"/>
        <v>4100401</v>
      </c>
      <c r="J728" s="2">
        <f>31400</f>
        <v>31400</v>
      </c>
      <c r="K728" s="2" t="str">
        <f t="shared" si="119"/>
        <v>脚</v>
      </c>
      <c r="L728" s="2" t="str">
        <f t="shared" si="123"/>
        <v>3630331</v>
      </c>
      <c r="M728" s="2" t="str">
        <f>""</f>
        <v/>
      </c>
    </row>
    <row r="729" spans="1:13" x14ac:dyDescent="0.15">
      <c r="A729" s="2" t="str">
        <f t="shared" si="117"/>
        <v>1881110500</v>
      </c>
      <c r="B729" s="2" t="str">
        <f t="shared" si="118"/>
        <v>佐伯・区政調整</v>
      </c>
      <c r="C729" s="2" t="str">
        <f t="shared" si="124"/>
        <v>01ｲ00311</v>
      </c>
      <c r="D729" s="2" t="str">
        <f t="shared" si="125"/>
        <v>肘掛椅子</v>
      </c>
      <c r="E729" s="3" t="str">
        <f t="shared" si="120"/>
        <v>肘付</v>
      </c>
      <c r="F729" s="2" t="str">
        <f t="shared" si="121"/>
        <v>０００１</v>
      </c>
      <c r="G729" s="2" t="str">
        <f>"3620003821"</f>
        <v>3620003821</v>
      </c>
      <c r="H729" s="2" t="str">
        <f t="shared" si="126"/>
        <v>001</v>
      </c>
      <c r="I729" s="2" t="str">
        <f t="shared" si="122"/>
        <v>4100401</v>
      </c>
      <c r="J729" s="2">
        <f>31400</f>
        <v>31400</v>
      </c>
      <c r="K729" s="2" t="str">
        <f t="shared" si="119"/>
        <v>脚</v>
      </c>
      <c r="L729" s="2" t="str">
        <f t="shared" si="123"/>
        <v>3630331</v>
      </c>
      <c r="M729" s="2" t="str">
        <f>""</f>
        <v/>
      </c>
    </row>
    <row r="730" spans="1:13" x14ac:dyDescent="0.15">
      <c r="A730" s="2" t="str">
        <f t="shared" ref="A730:A793" si="127">"1881110500"</f>
        <v>1881110500</v>
      </c>
      <c r="B730" s="2" t="str">
        <f t="shared" ref="B730:B793" si="128">"佐伯・区政調整"</f>
        <v>佐伯・区政調整</v>
      </c>
      <c r="C730" s="2" t="str">
        <f t="shared" si="124"/>
        <v>01ｲ00311</v>
      </c>
      <c r="D730" s="2" t="str">
        <f t="shared" si="125"/>
        <v>肘掛椅子</v>
      </c>
      <c r="E730" s="3" t="str">
        <f t="shared" si="120"/>
        <v>肘付</v>
      </c>
      <c r="F730" s="2" t="str">
        <f t="shared" si="121"/>
        <v>０００１</v>
      </c>
      <c r="G730" s="2" t="str">
        <f>"3620003822"</f>
        <v>3620003822</v>
      </c>
      <c r="H730" s="2" t="str">
        <f t="shared" si="126"/>
        <v>001</v>
      </c>
      <c r="I730" s="2" t="str">
        <f t="shared" si="122"/>
        <v>4100401</v>
      </c>
      <c r="J730" s="2">
        <f>31400</f>
        <v>31400</v>
      </c>
      <c r="K730" s="2" t="str">
        <f t="shared" ref="K730:K793" si="129">"脚"</f>
        <v>脚</v>
      </c>
      <c r="L730" s="2" t="str">
        <f t="shared" si="123"/>
        <v>3630331</v>
      </c>
      <c r="M730" s="2" t="str">
        <f>""</f>
        <v/>
      </c>
    </row>
    <row r="731" spans="1:13" x14ac:dyDescent="0.15">
      <c r="A731" s="2" t="str">
        <f t="shared" si="127"/>
        <v>1881110500</v>
      </c>
      <c r="B731" s="2" t="str">
        <f t="shared" si="128"/>
        <v>佐伯・区政調整</v>
      </c>
      <c r="C731" s="2" t="str">
        <f t="shared" si="124"/>
        <v>01ｲ00311</v>
      </c>
      <c r="D731" s="2" t="str">
        <f t="shared" si="125"/>
        <v>肘掛椅子</v>
      </c>
      <c r="E731" s="3" t="str">
        <f t="shared" si="120"/>
        <v>肘付</v>
      </c>
      <c r="F731" s="2" t="str">
        <f t="shared" si="121"/>
        <v>０００１</v>
      </c>
      <c r="G731" s="2" t="str">
        <f>"3620003823"</f>
        <v>3620003823</v>
      </c>
      <c r="H731" s="2" t="str">
        <f t="shared" si="126"/>
        <v>001</v>
      </c>
      <c r="I731" s="2" t="str">
        <f t="shared" si="122"/>
        <v>4100401</v>
      </c>
      <c r="J731" s="2">
        <f>31400</f>
        <v>31400</v>
      </c>
      <c r="K731" s="2" t="str">
        <f t="shared" si="129"/>
        <v>脚</v>
      </c>
      <c r="L731" s="2" t="str">
        <f t="shared" si="123"/>
        <v>3630331</v>
      </c>
      <c r="M731" s="2" t="str">
        <f>""</f>
        <v/>
      </c>
    </row>
    <row r="732" spans="1:13" x14ac:dyDescent="0.15">
      <c r="A732" s="2" t="str">
        <f t="shared" si="127"/>
        <v>1881110500</v>
      </c>
      <c r="B732" s="2" t="str">
        <f t="shared" si="128"/>
        <v>佐伯・区政調整</v>
      </c>
      <c r="C732" s="2" t="str">
        <f t="shared" si="124"/>
        <v>01ｲ00311</v>
      </c>
      <c r="D732" s="2" t="str">
        <f t="shared" si="125"/>
        <v>肘掛椅子</v>
      </c>
      <c r="E732" s="3" t="str">
        <f t="shared" si="120"/>
        <v>肘付</v>
      </c>
      <c r="F732" s="2" t="str">
        <f t="shared" si="121"/>
        <v>０００１</v>
      </c>
      <c r="G732" s="2" t="str">
        <f>"3620003824"</f>
        <v>3620003824</v>
      </c>
      <c r="H732" s="2" t="str">
        <f t="shared" si="126"/>
        <v>001</v>
      </c>
      <c r="I732" s="2" t="str">
        <f t="shared" si="122"/>
        <v>4100401</v>
      </c>
      <c r="J732" s="2">
        <f>31400</f>
        <v>31400</v>
      </c>
      <c r="K732" s="2" t="str">
        <f t="shared" si="129"/>
        <v>脚</v>
      </c>
      <c r="L732" s="2" t="str">
        <f t="shared" si="123"/>
        <v>3630331</v>
      </c>
      <c r="M732" s="2" t="str">
        <f>""</f>
        <v/>
      </c>
    </row>
    <row r="733" spans="1:13" x14ac:dyDescent="0.15">
      <c r="A733" s="2" t="str">
        <f t="shared" si="127"/>
        <v>1881110500</v>
      </c>
      <c r="B733" s="2" t="str">
        <f t="shared" si="128"/>
        <v>佐伯・区政調整</v>
      </c>
      <c r="C733" s="2" t="str">
        <f t="shared" si="124"/>
        <v>01ｲ00311</v>
      </c>
      <c r="D733" s="2" t="str">
        <f t="shared" si="125"/>
        <v>肘掛椅子</v>
      </c>
      <c r="E733" s="3" t="str">
        <f t="shared" si="120"/>
        <v>肘付</v>
      </c>
      <c r="F733" s="2" t="str">
        <f t="shared" si="121"/>
        <v>０００１</v>
      </c>
      <c r="G733" s="2" t="str">
        <f>"3620003825"</f>
        <v>3620003825</v>
      </c>
      <c r="H733" s="2" t="str">
        <f t="shared" si="126"/>
        <v>001</v>
      </c>
      <c r="I733" s="2" t="str">
        <f t="shared" si="122"/>
        <v>4100401</v>
      </c>
      <c r="J733" s="2">
        <f>31400</f>
        <v>31400</v>
      </c>
      <c r="K733" s="2" t="str">
        <f t="shared" si="129"/>
        <v>脚</v>
      </c>
      <c r="L733" s="2" t="str">
        <f t="shared" si="123"/>
        <v>3630331</v>
      </c>
      <c r="M733" s="2" t="str">
        <f>""</f>
        <v/>
      </c>
    </row>
    <row r="734" spans="1:13" x14ac:dyDescent="0.15">
      <c r="A734" s="2" t="str">
        <f t="shared" si="127"/>
        <v>1881110500</v>
      </c>
      <c r="B734" s="2" t="str">
        <f t="shared" si="128"/>
        <v>佐伯・区政調整</v>
      </c>
      <c r="C734" s="2" t="str">
        <f t="shared" si="124"/>
        <v>01ｲ00311</v>
      </c>
      <c r="D734" s="2" t="str">
        <f t="shared" si="125"/>
        <v>肘掛椅子</v>
      </c>
      <c r="E734" s="3" t="str">
        <f t="shared" si="120"/>
        <v>肘付</v>
      </c>
      <c r="F734" s="2" t="str">
        <f t="shared" si="121"/>
        <v>０００１</v>
      </c>
      <c r="G734" s="2" t="str">
        <f>"3620003826"</f>
        <v>3620003826</v>
      </c>
      <c r="H734" s="2" t="str">
        <f t="shared" si="126"/>
        <v>001</v>
      </c>
      <c r="I734" s="2" t="str">
        <f t="shared" si="122"/>
        <v>4100401</v>
      </c>
      <c r="J734" s="2">
        <f>31400</f>
        <v>31400</v>
      </c>
      <c r="K734" s="2" t="str">
        <f t="shared" si="129"/>
        <v>脚</v>
      </c>
      <c r="L734" s="2" t="str">
        <f t="shared" si="123"/>
        <v>3630331</v>
      </c>
      <c r="M734" s="2" t="str">
        <f>""</f>
        <v/>
      </c>
    </row>
    <row r="735" spans="1:13" x14ac:dyDescent="0.15">
      <c r="A735" s="2" t="str">
        <f t="shared" si="127"/>
        <v>1881110500</v>
      </c>
      <c r="B735" s="2" t="str">
        <f t="shared" si="128"/>
        <v>佐伯・区政調整</v>
      </c>
      <c r="C735" s="2" t="str">
        <f t="shared" si="124"/>
        <v>01ｲ00311</v>
      </c>
      <c r="D735" s="2" t="str">
        <f t="shared" si="125"/>
        <v>肘掛椅子</v>
      </c>
      <c r="E735" s="3" t="str">
        <f t="shared" si="120"/>
        <v>肘付</v>
      </c>
      <c r="F735" s="2" t="str">
        <f t="shared" si="121"/>
        <v>０００１</v>
      </c>
      <c r="G735" s="2" t="str">
        <f>"3620003827"</f>
        <v>3620003827</v>
      </c>
      <c r="H735" s="2" t="str">
        <f t="shared" si="126"/>
        <v>001</v>
      </c>
      <c r="I735" s="2" t="str">
        <f t="shared" si="122"/>
        <v>4100401</v>
      </c>
      <c r="J735" s="2">
        <f>31400</f>
        <v>31400</v>
      </c>
      <c r="K735" s="2" t="str">
        <f t="shared" si="129"/>
        <v>脚</v>
      </c>
      <c r="L735" s="2" t="str">
        <f t="shared" si="123"/>
        <v>3630331</v>
      </c>
      <c r="M735" s="2" t="str">
        <f>""</f>
        <v/>
      </c>
    </row>
    <row r="736" spans="1:13" x14ac:dyDescent="0.15">
      <c r="A736" s="2" t="str">
        <f t="shared" si="127"/>
        <v>1881110500</v>
      </c>
      <c r="B736" s="2" t="str">
        <f t="shared" si="128"/>
        <v>佐伯・区政調整</v>
      </c>
      <c r="C736" s="2" t="str">
        <f t="shared" si="124"/>
        <v>01ｲ00311</v>
      </c>
      <c r="D736" s="2" t="str">
        <f t="shared" si="125"/>
        <v>肘掛椅子</v>
      </c>
      <c r="E736" s="3" t="str">
        <f t="shared" si="120"/>
        <v>肘付</v>
      </c>
      <c r="F736" s="2" t="str">
        <f t="shared" si="121"/>
        <v>０００１</v>
      </c>
      <c r="G736" s="2" t="str">
        <f>"3620003828"</f>
        <v>3620003828</v>
      </c>
      <c r="H736" s="2" t="str">
        <f t="shared" si="126"/>
        <v>001</v>
      </c>
      <c r="I736" s="2" t="str">
        <f t="shared" si="122"/>
        <v>4100401</v>
      </c>
      <c r="J736" s="2">
        <f>31400</f>
        <v>31400</v>
      </c>
      <c r="K736" s="2" t="str">
        <f t="shared" si="129"/>
        <v>脚</v>
      </c>
      <c r="L736" s="2" t="str">
        <f t="shared" si="123"/>
        <v>3630331</v>
      </c>
      <c r="M736" s="2" t="str">
        <f>""</f>
        <v/>
      </c>
    </row>
    <row r="737" spans="1:13" x14ac:dyDescent="0.15">
      <c r="A737" s="2" t="str">
        <f t="shared" si="127"/>
        <v>1881110500</v>
      </c>
      <c r="B737" s="2" t="str">
        <f t="shared" si="128"/>
        <v>佐伯・区政調整</v>
      </c>
      <c r="C737" s="2" t="str">
        <f t="shared" si="124"/>
        <v>01ｲ00311</v>
      </c>
      <c r="D737" s="2" t="str">
        <f t="shared" si="125"/>
        <v>肘掛椅子</v>
      </c>
      <c r="E737" s="3" t="str">
        <f t="shared" si="120"/>
        <v>肘付</v>
      </c>
      <c r="F737" s="2" t="str">
        <f t="shared" si="121"/>
        <v>０００１</v>
      </c>
      <c r="G737" s="2" t="str">
        <f>"3620003829"</f>
        <v>3620003829</v>
      </c>
      <c r="H737" s="2" t="str">
        <f t="shared" si="126"/>
        <v>001</v>
      </c>
      <c r="I737" s="2" t="str">
        <f t="shared" si="122"/>
        <v>4100401</v>
      </c>
      <c r="J737" s="2">
        <f>31400</f>
        <v>31400</v>
      </c>
      <c r="K737" s="2" t="str">
        <f t="shared" si="129"/>
        <v>脚</v>
      </c>
      <c r="L737" s="2" t="str">
        <f t="shared" si="123"/>
        <v>3630331</v>
      </c>
      <c r="M737" s="2" t="str">
        <f>""</f>
        <v/>
      </c>
    </row>
    <row r="738" spans="1:13" x14ac:dyDescent="0.15">
      <c r="A738" s="2" t="str">
        <f t="shared" si="127"/>
        <v>1881110500</v>
      </c>
      <c r="B738" s="2" t="str">
        <f t="shared" si="128"/>
        <v>佐伯・区政調整</v>
      </c>
      <c r="C738" s="2" t="str">
        <f t="shared" si="124"/>
        <v>01ｲ00311</v>
      </c>
      <c r="D738" s="2" t="str">
        <f t="shared" si="125"/>
        <v>肘掛椅子</v>
      </c>
      <c r="E738" s="3" t="str">
        <f t="shared" ref="E738:E801" si="130">"肘付"</f>
        <v>肘付</v>
      </c>
      <c r="F738" s="2" t="str">
        <f t="shared" ref="F738:F801" si="131">"０００１"</f>
        <v>０００１</v>
      </c>
      <c r="G738" s="2" t="str">
        <f>"3620003830"</f>
        <v>3620003830</v>
      </c>
      <c r="H738" s="2" t="str">
        <f t="shared" si="126"/>
        <v>001</v>
      </c>
      <c r="I738" s="2" t="str">
        <f t="shared" ref="I738:I801" si="132">"4100401"</f>
        <v>4100401</v>
      </c>
      <c r="J738" s="2">
        <f>31400</f>
        <v>31400</v>
      </c>
      <c r="K738" s="2" t="str">
        <f t="shared" si="129"/>
        <v>脚</v>
      </c>
      <c r="L738" s="2" t="str">
        <f t="shared" ref="L738:L801" si="133">"3630331"</f>
        <v>3630331</v>
      </c>
      <c r="M738" s="2" t="str">
        <f>""</f>
        <v/>
      </c>
    </row>
    <row r="739" spans="1:13" x14ac:dyDescent="0.15">
      <c r="A739" s="2" t="str">
        <f t="shared" si="127"/>
        <v>1881110500</v>
      </c>
      <c r="B739" s="2" t="str">
        <f t="shared" si="128"/>
        <v>佐伯・区政調整</v>
      </c>
      <c r="C739" s="2" t="str">
        <f t="shared" si="124"/>
        <v>01ｲ00311</v>
      </c>
      <c r="D739" s="2" t="str">
        <f t="shared" si="125"/>
        <v>肘掛椅子</v>
      </c>
      <c r="E739" s="3" t="str">
        <f t="shared" si="130"/>
        <v>肘付</v>
      </c>
      <c r="F739" s="2" t="str">
        <f t="shared" si="131"/>
        <v>０００１</v>
      </c>
      <c r="G739" s="2" t="str">
        <f>"3620003831"</f>
        <v>3620003831</v>
      </c>
      <c r="H739" s="2" t="str">
        <f t="shared" si="126"/>
        <v>001</v>
      </c>
      <c r="I739" s="2" t="str">
        <f t="shared" si="132"/>
        <v>4100401</v>
      </c>
      <c r="J739" s="2">
        <f>31400</f>
        <v>31400</v>
      </c>
      <c r="K739" s="2" t="str">
        <f t="shared" si="129"/>
        <v>脚</v>
      </c>
      <c r="L739" s="2" t="str">
        <f t="shared" si="133"/>
        <v>3630331</v>
      </c>
      <c r="M739" s="2" t="str">
        <f>""</f>
        <v/>
      </c>
    </row>
    <row r="740" spans="1:13" x14ac:dyDescent="0.15">
      <c r="A740" s="2" t="str">
        <f t="shared" si="127"/>
        <v>1881110500</v>
      </c>
      <c r="B740" s="2" t="str">
        <f t="shared" si="128"/>
        <v>佐伯・区政調整</v>
      </c>
      <c r="C740" s="2" t="str">
        <f t="shared" si="124"/>
        <v>01ｲ00311</v>
      </c>
      <c r="D740" s="2" t="str">
        <f t="shared" si="125"/>
        <v>肘掛椅子</v>
      </c>
      <c r="E740" s="3" t="str">
        <f t="shared" si="130"/>
        <v>肘付</v>
      </c>
      <c r="F740" s="2" t="str">
        <f t="shared" si="131"/>
        <v>０００１</v>
      </c>
      <c r="G740" s="2" t="str">
        <f>"3620003832"</f>
        <v>3620003832</v>
      </c>
      <c r="H740" s="2" t="str">
        <f t="shared" si="126"/>
        <v>001</v>
      </c>
      <c r="I740" s="2" t="str">
        <f t="shared" si="132"/>
        <v>4100401</v>
      </c>
      <c r="J740" s="2">
        <f>31400</f>
        <v>31400</v>
      </c>
      <c r="K740" s="2" t="str">
        <f t="shared" si="129"/>
        <v>脚</v>
      </c>
      <c r="L740" s="2" t="str">
        <f t="shared" si="133"/>
        <v>3630331</v>
      </c>
      <c r="M740" s="2" t="str">
        <f>""</f>
        <v/>
      </c>
    </row>
    <row r="741" spans="1:13" x14ac:dyDescent="0.15">
      <c r="A741" s="2" t="str">
        <f t="shared" si="127"/>
        <v>1881110500</v>
      </c>
      <c r="B741" s="2" t="str">
        <f t="shared" si="128"/>
        <v>佐伯・区政調整</v>
      </c>
      <c r="C741" s="2" t="str">
        <f t="shared" si="124"/>
        <v>01ｲ00311</v>
      </c>
      <c r="D741" s="2" t="str">
        <f t="shared" si="125"/>
        <v>肘掛椅子</v>
      </c>
      <c r="E741" s="3" t="str">
        <f t="shared" si="130"/>
        <v>肘付</v>
      </c>
      <c r="F741" s="2" t="str">
        <f t="shared" si="131"/>
        <v>０００１</v>
      </c>
      <c r="G741" s="2" t="str">
        <f>"3620003833"</f>
        <v>3620003833</v>
      </c>
      <c r="H741" s="2" t="str">
        <f t="shared" si="126"/>
        <v>001</v>
      </c>
      <c r="I741" s="2" t="str">
        <f t="shared" si="132"/>
        <v>4100401</v>
      </c>
      <c r="J741" s="2">
        <f>31400</f>
        <v>31400</v>
      </c>
      <c r="K741" s="2" t="str">
        <f t="shared" si="129"/>
        <v>脚</v>
      </c>
      <c r="L741" s="2" t="str">
        <f t="shared" si="133"/>
        <v>3630331</v>
      </c>
      <c r="M741" s="2" t="str">
        <f>""</f>
        <v/>
      </c>
    </row>
    <row r="742" spans="1:13" x14ac:dyDescent="0.15">
      <c r="A742" s="2" t="str">
        <f t="shared" si="127"/>
        <v>1881110500</v>
      </c>
      <c r="B742" s="2" t="str">
        <f t="shared" si="128"/>
        <v>佐伯・区政調整</v>
      </c>
      <c r="C742" s="2" t="str">
        <f t="shared" si="124"/>
        <v>01ｲ00311</v>
      </c>
      <c r="D742" s="2" t="str">
        <f t="shared" si="125"/>
        <v>肘掛椅子</v>
      </c>
      <c r="E742" s="3" t="str">
        <f t="shared" si="130"/>
        <v>肘付</v>
      </c>
      <c r="F742" s="2" t="str">
        <f t="shared" si="131"/>
        <v>０００１</v>
      </c>
      <c r="G742" s="2" t="str">
        <f>"3620003834"</f>
        <v>3620003834</v>
      </c>
      <c r="H742" s="2" t="str">
        <f t="shared" si="126"/>
        <v>001</v>
      </c>
      <c r="I742" s="2" t="str">
        <f t="shared" si="132"/>
        <v>4100401</v>
      </c>
      <c r="J742" s="2">
        <f>31400</f>
        <v>31400</v>
      </c>
      <c r="K742" s="2" t="str">
        <f t="shared" si="129"/>
        <v>脚</v>
      </c>
      <c r="L742" s="2" t="str">
        <f t="shared" si="133"/>
        <v>3630331</v>
      </c>
      <c r="M742" s="2" t="str">
        <f>""</f>
        <v/>
      </c>
    </row>
    <row r="743" spans="1:13" x14ac:dyDescent="0.15">
      <c r="A743" s="2" t="str">
        <f t="shared" si="127"/>
        <v>1881110500</v>
      </c>
      <c r="B743" s="2" t="str">
        <f t="shared" si="128"/>
        <v>佐伯・区政調整</v>
      </c>
      <c r="C743" s="2" t="str">
        <f t="shared" si="124"/>
        <v>01ｲ00311</v>
      </c>
      <c r="D743" s="2" t="str">
        <f t="shared" si="125"/>
        <v>肘掛椅子</v>
      </c>
      <c r="E743" s="3" t="str">
        <f t="shared" si="130"/>
        <v>肘付</v>
      </c>
      <c r="F743" s="2" t="str">
        <f t="shared" si="131"/>
        <v>０００１</v>
      </c>
      <c r="G743" s="2" t="str">
        <f>"3620003835"</f>
        <v>3620003835</v>
      </c>
      <c r="H743" s="2" t="str">
        <f t="shared" si="126"/>
        <v>001</v>
      </c>
      <c r="I743" s="2" t="str">
        <f t="shared" si="132"/>
        <v>4100401</v>
      </c>
      <c r="J743" s="2">
        <f>31400</f>
        <v>31400</v>
      </c>
      <c r="K743" s="2" t="str">
        <f t="shared" si="129"/>
        <v>脚</v>
      </c>
      <c r="L743" s="2" t="str">
        <f t="shared" si="133"/>
        <v>3630331</v>
      </c>
      <c r="M743" s="2" t="str">
        <f>""</f>
        <v/>
      </c>
    </row>
    <row r="744" spans="1:13" x14ac:dyDescent="0.15">
      <c r="A744" s="2" t="str">
        <f t="shared" si="127"/>
        <v>1881110500</v>
      </c>
      <c r="B744" s="2" t="str">
        <f t="shared" si="128"/>
        <v>佐伯・区政調整</v>
      </c>
      <c r="C744" s="2" t="str">
        <f t="shared" si="124"/>
        <v>01ｲ00311</v>
      </c>
      <c r="D744" s="2" t="str">
        <f t="shared" si="125"/>
        <v>肘掛椅子</v>
      </c>
      <c r="E744" s="3" t="str">
        <f t="shared" si="130"/>
        <v>肘付</v>
      </c>
      <c r="F744" s="2" t="str">
        <f t="shared" si="131"/>
        <v>０００１</v>
      </c>
      <c r="G744" s="2" t="str">
        <f>"3620003836"</f>
        <v>3620003836</v>
      </c>
      <c r="H744" s="2" t="str">
        <f t="shared" si="126"/>
        <v>001</v>
      </c>
      <c r="I744" s="2" t="str">
        <f t="shared" si="132"/>
        <v>4100401</v>
      </c>
      <c r="J744" s="2">
        <f>31400</f>
        <v>31400</v>
      </c>
      <c r="K744" s="2" t="str">
        <f t="shared" si="129"/>
        <v>脚</v>
      </c>
      <c r="L744" s="2" t="str">
        <f t="shared" si="133"/>
        <v>3630331</v>
      </c>
      <c r="M744" s="2" t="str">
        <f>""</f>
        <v/>
      </c>
    </row>
    <row r="745" spans="1:13" x14ac:dyDescent="0.15">
      <c r="A745" s="2" t="str">
        <f t="shared" si="127"/>
        <v>1881110500</v>
      </c>
      <c r="B745" s="2" t="str">
        <f t="shared" si="128"/>
        <v>佐伯・区政調整</v>
      </c>
      <c r="C745" s="2" t="str">
        <f t="shared" si="124"/>
        <v>01ｲ00311</v>
      </c>
      <c r="D745" s="2" t="str">
        <f t="shared" si="125"/>
        <v>肘掛椅子</v>
      </c>
      <c r="E745" s="3" t="str">
        <f t="shared" si="130"/>
        <v>肘付</v>
      </c>
      <c r="F745" s="2" t="str">
        <f t="shared" si="131"/>
        <v>０００１</v>
      </c>
      <c r="G745" s="2" t="str">
        <f>"3620003837"</f>
        <v>3620003837</v>
      </c>
      <c r="H745" s="2" t="str">
        <f t="shared" si="126"/>
        <v>001</v>
      </c>
      <c r="I745" s="2" t="str">
        <f t="shared" si="132"/>
        <v>4100401</v>
      </c>
      <c r="J745" s="2">
        <f>31400</f>
        <v>31400</v>
      </c>
      <c r="K745" s="2" t="str">
        <f t="shared" si="129"/>
        <v>脚</v>
      </c>
      <c r="L745" s="2" t="str">
        <f t="shared" si="133"/>
        <v>3630331</v>
      </c>
      <c r="M745" s="2" t="str">
        <f>""</f>
        <v/>
      </c>
    </row>
    <row r="746" spans="1:13" x14ac:dyDescent="0.15">
      <c r="A746" s="2" t="str">
        <f t="shared" si="127"/>
        <v>1881110500</v>
      </c>
      <c r="B746" s="2" t="str">
        <f t="shared" si="128"/>
        <v>佐伯・区政調整</v>
      </c>
      <c r="C746" s="2" t="str">
        <f t="shared" si="124"/>
        <v>01ｲ00311</v>
      </c>
      <c r="D746" s="2" t="str">
        <f t="shared" si="125"/>
        <v>肘掛椅子</v>
      </c>
      <c r="E746" s="3" t="str">
        <f t="shared" si="130"/>
        <v>肘付</v>
      </c>
      <c r="F746" s="2" t="str">
        <f t="shared" si="131"/>
        <v>０００１</v>
      </c>
      <c r="G746" s="2" t="str">
        <f>"3620003838"</f>
        <v>3620003838</v>
      </c>
      <c r="H746" s="2" t="str">
        <f t="shared" si="126"/>
        <v>001</v>
      </c>
      <c r="I746" s="2" t="str">
        <f t="shared" si="132"/>
        <v>4100401</v>
      </c>
      <c r="J746" s="2">
        <f>31400</f>
        <v>31400</v>
      </c>
      <c r="K746" s="2" t="str">
        <f t="shared" si="129"/>
        <v>脚</v>
      </c>
      <c r="L746" s="2" t="str">
        <f t="shared" si="133"/>
        <v>3630331</v>
      </c>
      <c r="M746" s="2" t="str">
        <f>""</f>
        <v/>
      </c>
    </row>
    <row r="747" spans="1:13" x14ac:dyDescent="0.15">
      <c r="A747" s="2" t="str">
        <f t="shared" si="127"/>
        <v>1881110500</v>
      </c>
      <c r="B747" s="2" t="str">
        <f t="shared" si="128"/>
        <v>佐伯・区政調整</v>
      </c>
      <c r="C747" s="2" t="str">
        <f t="shared" si="124"/>
        <v>01ｲ00311</v>
      </c>
      <c r="D747" s="2" t="str">
        <f t="shared" si="125"/>
        <v>肘掛椅子</v>
      </c>
      <c r="E747" s="3" t="str">
        <f t="shared" si="130"/>
        <v>肘付</v>
      </c>
      <c r="F747" s="2" t="str">
        <f t="shared" si="131"/>
        <v>０００１</v>
      </c>
      <c r="G747" s="2" t="str">
        <f>"3620003839"</f>
        <v>3620003839</v>
      </c>
      <c r="H747" s="2" t="str">
        <f t="shared" si="126"/>
        <v>001</v>
      </c>
      <c r="I747" s="2" t="str">
        <f t="shared" si="132"/>
        <v>4100401</v>
      </c>
      <c r="J747" s="2">
        <f>31400</f>
        <v>31400</v>
      </c>
      <c r="K747" s="2" t="str">
        <f t="shared" si="129"/>
        <v>脚</v>
      </c>
      <c r="L747" s="2" t="str">
        <f t="shared" si="133"/>
        <v>3630331</v>
      </c>
      <c r="M747" s="2" t="str">
        <f>""</f>
        <v/>
      </c>
    </row>
    <row r="748" spans="1:13" x14ac:dyDescent="0.15">
      <c r="A748" s="2" t="str">
        <f t="shared" si="127"/>
        <v>1881110500</v>
      </c>
      <c r="B748" s="2" t="str">
        <f t="shared" si="128"/>
        <v>佐伯・区政調整</v>
      </c>
      <c r="C748" s="2" t="str">
        <f t="shared" si="124"/>
        <v>01ｲ00311</v>
      </c>
      <c r="D748" s="2" t="str">
        <f t="shared" si="125"/>
        <v>肘掛椅子</v>
      </c>
      <c r="E748" s="3" t="str">
        <f t="shared" si="130"/>
        <v>肘付</v>
      </c>
      <c r="F748" s="2" t="str">
        <f t="shared" si="131"/>
        <v>０００１</v>
      </c>
      <c r="G748" s="2" t="str">
        <f>"3620003840"</f>
        <v>3620003840</v>
      </c>
      <c r="H748" s="2" t="str">
        <f t="shared" si="126"/>
        <v>001</v>
      </c>
      <c r="I748" s="2" t="str">
        <f t="shared" si="132"/>
        <v>4100401</v>
      </c>
      <c r="J748" s="2">
        <f>31400</f>
        <v>31400</v>
      </c>
      <c r="K748" s="2" t="str">
        <f t="shared" si="129"/>
        <v>脚</v>
      </c>
      <c r="L748" s="2" t="str">
        <f t="shared" si="133"/>
        <v>3630331</v>
      </c>
      <c r="M748" s="2" t="str">
        <f>""</f>
        <v/>
      </c>
    </row>
    <row r="749" spans="1:13" x14ac:dyDescent="0.15">
      <c r="A749" s="2" t="str">
        <f t="shared" si="127"/>
        <v>1881110500</v>
      </c>
      <c r="B749" s="2" t="str">
        <f t="shared" si="128"/>
        <v>佐伯・区政調整</v>
      </c>
      <c r="C749" s="2" t="str">
        <f t="shared" si="124"/>
        <v>01ｲ00311</v>
      </c>
      <c r="D749" s="2" t="str">
        <f t="shared" si="125"/>
        <v>肘掛椅子</v>
      </c>
      <c r="E749" s="3" t="str">
        <f t="shared" si="130"/>
        <v>肘付</v>
      </c>
      <c r="F749" s="2" t="str">
        <f t="shared" si="131"/>
        <v>０００１</v>
      </c>
      <c r="G749" s="2" t="str">
        <f>"3620003841"</f>
        <v>3620003841</v>
      </c>
      <c r="H749" s="2" t="str">
        <f t="shared" si="126"/>
        <v>001</v>
      </c>
      <c r="I749" s="2" t="str">
        <f t="shared" si="132"/>
        <v>4100401</v>
      </c>
      <c r="J749" s="2">
        <f>31400</f>
        <v>31400</v>
      </c>
      <c r="K749" s="2" t="str">
        <f t="shared" si="129"/>
        <v>脚</v>
      </c>
      <c r="L749" s="2" t="str">
        <f t="shared" si="133"/>
        <v>3630331</v>
      </c>
      <c r="M749" s="2" t="str">
        <f>""</f>
        <v/>
      </c>
    </row>
    <row r="750" spans="1:13" x14ac:dyDescent="0.15">
      <c r="A750" s="2" t="str">
        <f t="shared" si="127"/>
        <v>1881110500</v>
      </c>
      <c r="B750" s="2" t="str">
        <f t="shared" si="128"/>
        <v>佐伯・区政調整</v>
      </c>
      <c r="C750" s="2" t="str">
        <f t="shared" si="124"/>
        <v>01ｲ00311</v>
      </c>
      <c r="D750" s="2" t="str">
        <f t="shared" si="125"/>
        <v>肘掛椅子</v>
      </c>
      <c r="E750" s="3" t="str">
        <f t="shared" si="130"/>
        <v>肘付</v>
      </c>
      <c r="F750" s="2" t="str">
        <f t="shared" si="131"/>
        <v>０００１</v>
      </c>
      <c r="G750" s="2" t="str">
        <f>"3620003842"</f>
        <v>3620003842</v>
      </c>
      <c r="H750" s="2" t="str">
        <f t="shared" si="126"/>
        <v>001</v>
      </c>
      <c r="I750" s="2" t="str">
        <f t="shared" si="132"/>
        <v>4100401</v>
      </c>
      <c r="J750" s="2">
        <f>31400</f>
        <v>31400</v>
      </c>
      <c r="K750" s="2" t="str">
        <f t="shared" si="129"/>
        <v>脚</v>
      </c>
      <c r="L750" s="2" t="str">
        <f t="shared" si="133"/>
        <v>3630331</v>
      </c>
      <c r="M750" s="2" t="str">
        <f>""</f>
        <v/>
      </c>
    </row>
    <row r="751" spans="1:13" x14ac:dyDescent="0.15">
      <c r="A751" s="2" t="str">
        <f t="shared" si="127"/>
        <v>1881110500</v>
      </c>
      <c r="B751" s="2" t="str">
        <f t="shared" si="128"/>
        <v>佐伯・区政調整</v>
      </c>
      <c r="C751" s="2" t="str">
        <f t="shared" si="124"/>
        <v>01ｲ00311</v>
      </c>
      <c r="D751" s="2" t="str">
        <f t="shared" si="125"/>
        <v>肘掛椅子</v>
      </c>
      <c r="E751" s="3" t="str">
        <f t="shared" si="130"/>
        <v>肘付</v>
      </c>
      <c r="F751" s="2" t="str">
        <f t="shared" si="131"/>
        <v>０００１</v>
      </c>
      <c r="G751" s="2" t="str">
        <f>"3620003843"</f>
        <v>3620003843</v>
      </c>
      <c r="H751" s="2" t="str">
        <f t="shared" si="126"/>
        <v>001</v>
      </c>
      <c r="I751" s="2" t="str">
        <f t="shared" si="132"/>
        <v>4100401</v>
      </c>
      <c r="J751" s="2">
        <f>31400</f>
        <v>31400</v>
      </c>
      <c r="K751" s="2" t="str">
        <f t="shared" si="129"/>
        <v>脚</v>
      </c>
      <c r="L751" s="2" t="str">
        <f t="shared" si="133"/>
        <v>3630331</v>
      </c>
      <c r="M751" s="2" t="str">
        <f>""</f>
        <v/>
      </c>
    </row>
    <row r="752" spans="1:13" x14ac:dyDescent="0.15">
      <c r="A752" s="2" t="str">
        <f t="shared" si="127"/>
        <v>1881110500</v>
      </c>
      <c r="B752" s="2" t="str">
        <f t="shared" si="128"/>
        <v>佐伯・区政調整</v>
      </c>
      <c r="C752" s="2" t="str">
        <f t="shared" si="124"/>
        <v>01ｲ00311</v>
      </c>
      <c r="D752" s="2" t="str">
        <f t="shared" si="125"/>
        <v>肘掛椅子</v>
      </c>
      <c r="E752" s="3" t="str">
        <f t="shared" si="130"/>
        <v>肘付</v>
      </c>
      <c r="F752" s="2" t="str">
        <f t="shared" si="131"/>
        <v>０００１</v>
      </c>
      <c r="G752" s="2" t="str">
        <f>"3620003844"</f>
        <v>3620003844</v>
      </c>
      <c r="H752" s="2" t="str">
        <f t="shared" si="126"/>
        <v>001</v>
      </c>
      <c r="I752" s="2" t="str">
        <f t="shared" si="132"/>
        <v>4100401</v>
      </c>
      <c r="J752" s="2">
        <f>31400</f>
        <v>31400</v>
      </c>
      <c r="K752" s="2" t="str">
        <f t="shared" si="129"/>
        <v>脚</v>
      </c>
      <c r="L752" s="2" t="str">
        <f t="shared" si="133"/>
        <v>3630331</v>
      </c>
      <c r="M752" s="2" t="str">
        <f>""</f>
        <v/>
      </c>
    </row>
    <row r="753" spans="1:13" x14ac:dyDescent="0.15">
      <c r="A753" s="2" t="str">
        <f t="shared" si="127"/>
        <v>1881110500</v>
      </c>
      <c r="B753" s="2" t="str">
        <f t="shared" si="128"/>
        <v>佐伯・区政調整</v>
      </c>
      <c r="C753" s="2" t="str">
        <f t="shared" si="124"/>
        <v>01ｲ00311</v>
      </c>
      <c r="D753" s="2" t="str">
        <f t="shared" si="125"/>
        <v>肘掛椅子</v>
      </c>
      <c r="E753" s="3" t="str">
        <f t="shared" si="130"/>
        <v>肘付</v>
      </c>
      <c r="F753" s="2" t="str">
        <f t="shared" si="131"/>
        <v>０００１</v>
      </c>
      <c r="G753" s="2" t="str">
        <f>"3620003845"</f>
        <v>3620003845</v>
      </c>
      <c r="H753" s="2" t="str">
        <f t="shared" si="126"/>
        <v>001</v>
      </c>
      <c r="I753" s="2" t="str">
        <f t="shared" si="132"/>
        <v>4100401</v>
      </c>
      <c r="J753" s="2">
        <f>31400</f>
        <v>31400</v>
      </c>
      <c r="K753" s="2" t="str">
        <f t="shared" si="129"/>
        <v>脚</v>
      </c>
      <c r="L753" s="2" t="str">
        <f t="shared" si="133"/>
        <v>3630331</v>
      </c>
      <c r="M753" s="2" t="str">
        <f>""</f>
        <v/>
      </c>
    </row>
    <row r="754" spans="1:13" x14ac:dyDescent="0.15">
      <c r="A754" s="2" t="str">
        <f t="shared" si="127"/>
        <v>1881110500</v>
      </c>
      <c r="B754" s="2" t="str">
        <f t="shared" si="128"/>
        <v>佐伯・区政調整</v>
      </c>
      <c r="C754" s="2" t="str">
        <f t="shared" si="124"/>
        <v>01ｲ00311</v>
      </c>
      <c r="D754" s="2" t="str">
        <f t="shared" si="125"/>
        <v>肘掛椅子</v>
      </c>
      <c r="E754" s="3" t="str">
        <f t="shared" si="130"/>
        <v>肘付</v>
      </c>
      <c r="F754" s="2" t="str">
        <f t="shared" si="131"/>
        <v>０００１</v>
      </c>
      <c r="G754" s="2" t="str">
        <f>"3620003846"</f>
        <v>3620003846</v>
      </c>
      <c r="H754" s="2" t="str">
        <f t="shared" si="126"/>
        <v>001</v>
      </c>
      <c r="I754" s="2" t="str">
        <f t="shared" si="132"/>
        <v>4100401</v>
      </c>
      <c r="J754" s="2">
        <f>31400</f>
        <v>31400</v>
      </c>
      <c r="K754" s="2" t="str">
        <f t="shared" si="129"/>
        <v>脚</v>
      </c>
      <c r="L754" s="2" t="str">
        <f t="shared" si="133"/>
        <v>3630331</v>
      </c>
      <c r="M754" s="2" t="str">
        <f>""</f>
        <v/>
      </c>
    </row>
    <row r="755" spans="1:13" x14ac:dyDescent="0.15">
      <c r="A755" s="2" t="str">
        <f t="shared" si="127"/>
        <v>1881110500</v>
      </c>
      <c r="B755" s="2" t="str">
        <f t="shared" si="128"/>
        <v>佐伯・区政調整</v>
      </c>
      <c r="C755" s="2" t="str">
        <f t="shared" si="124"/>
        <v>01ｲ00311</v>
      </c>
      <c r="D755" s="2" t="str">
        <f t="shared" si="125"/>
        <v>肘掛椅子</v>
      </c>
      <c r="E755" s="3" t="str">
        <f t="shared" si="130"/>
        <v>肘付</v>
      </c>
      <c r="F755" s="2" t="str">
        <f t="shared" si="131"/>
        <v>０００１</v>
      </c>
      <c r="G755" s="2" t="str">
        <f>"3620003847"</f>
        <v>3620003847</v>
      </c>
      <c r="H755" s="2" t="str">
        <f t="shared" si="126"/>
        <v>001</v>
      </c>
      <c r="I755" s="2" t="str">
        <f t="shared" si="132"/>
        <v>4100401</v>
      </c>
      <c r="J755" s="2">
        <f>31400</f>
        <v>31400</v>
      </c>
      <c r="K755" s="2" t="str">
        <f t="shared" si="129"/>
        <v>脚</v>
      </c>
      <c r="L755" s="2" t="str">
        <f t="shared" si="133"/>
        <v>3630331</v>
      </c>
      <c r="M755" s="2" t="str">
        <f>""</f>
        <v/>
      </c>
    </row>
    <row r="756" spans="1:13" x14ac:dyDescent="0.15">
      <c r="A756" s="2" t="str">
        <f t="shared" si="127"/>
        <v>1881110500</v>
      </c>
      <c r="B756" s="2" t="str">
        <f t="shared" si="128"/>
        <v>佐伯・区政調整</v>
      </c>
      <c r="C756" s="2" t="str">
        <f t="shared" si="124"/>
        <v>01ｲ00311</v>
      </c>
      <c r="D756" s="2" t="str">
        <f t="shared" si="125"/>
        <v>肘掛椅子</v>
      </c>
      <c r="E756" s="3" t="str">
        <f t="shared" si="130"/>
        <v>肘付</v>
      </c>
      <c r="F756" s="2" t="str">
        <f t="shared" si="131"/>
        <v>０００１</v>
      </c>
      <c r="G756" s="2" t="str">
        <f>"3620003848"</f>
        <v>3620003848</v>
      </c>
      <c r="H756" s="2" t="str">
        <f t="shared" si="126"/>
        <v>001</v>
      </c>
      <c r="I756" s="2" t="str">
        <f t="shared" si="132"/>
        <v>4100401</v>
      </c>
      <c r="J756" s="2">
        <f>31400</f>
        <v>31400</v>
      </c>
      <c r="K756" s="2" t="str">
        <f t="shared" si="129"/>
        <v>脚</v>
      </c>
      <c r="L756" s="2" t="str">
        <f t="shared" si="133"/>
        <v>3630331</v>
      </c>
      <c r="M756" s="2" t="str">
        <f>""</f>
        <v/>
      </c>
    </row>
    <row r="757" spans="1:13" x14ac:dyDescent="0.15">
      <c r="A757" s="2" t="str">
        <f t="shared" si="127"/>
        <v>1881110500</v>
      </c>
      <c r="B757" s="2" t="str">
        <f t="shared" si="128"/>
        <v>佐伯・区政調整</v>
      </c>
      <c r="C757" s="2" t="str">
        <f t="shared" si="124"/>
        <v>01ｲ00311</v>
      </c>
      <c r="D757" s="2" t="str">
        <f t="shared" si="125"/>
        <v>肘掛椅子</v>
      </c>
      <c r="E757" s="3" t="str">
        <f t="shared" si="130"/>
        <v>肘付</v>
      </c>
      <c r="F757" s="2" t="str">
        <f t="shared" si="131"/>
        <v>０００１</v>
      </c>
      <c r="G757" s="2" t="str">
        <f>"3620003849"</f>
        <v>3620003849</v>
      </c>
      <c r="H757" s="2" t="str">
        <f t="shared" si="126"/>
        <v>001</v>
      </c>
      <c r="I757" s="2" t="str">
        <f t="shared" si="132"/>
        <v>4100401</v>
      </c>
      <c r="J757" s="2">
        <f>31400</f>
        <v>31400</v>
      </c>
      <c r="K757" s="2" t="str">
        <f t="shared" si="129"/>
        <v>脚</v>
      </c>
      <c r="L757" s="2" t="str">
        <f t="shared" si="133"/>
        <v>3630331</v>
      </c>
      <c r="M757" s="2" t="str">
        <f>""</f>
        <v/>
      </c>
    </row>
    <row r="758" spans="1:13" x14ac:dyDescent="0.15">
      <c r="A758" s="2" t="str">
        <f t="shared" si="127"/>
        <v>1881110500</v>
      </c>
      <c r="B758" s="2" t="str">
        <f t="shared" si="128"/>
        <v>佐伯・区政調整</v>
      </c>
      <c r="C758" s="2" t="str">
        <f t="shared" si="124"/>
        <v>01ｲ00311</v>
      </c>
      <c r="D758" s="2" t="str">
        <f t="shared" si="125"/>
        <v>肘掛椅子</v>
      </c>
      <c r="E758" s="3" t="str">
        <f t="shared" si="130"/>
        <v>肘付</v>
      </c>
      <c r="F758" s="2" t="str">
        <f t="shared" si="131"/>
        <v>０００１</v>
      </c>
      <c r="G758" s="2" t="str">
        <f>"3620003850"</f>
        <v>3620003850</v>
      </c>
      <c r="H758" s="2" t="str">
        <f t="shared" si="126"/>
        <v>001</v>
      </c>
      <c r="I758" s="2" t="str">
        <f t="shared" si="132"/>
        <v>4100401</v>
      </c>
      <c r="J758" s="2">
        <f>31400</f>
        <v>31400</v>
      </c>
      <c r="K758" s="2" t="str">
        <f t="shared" si="129"/>
        <v>脚</v>
      </c>
      <c r="L758" s="2" t="str">
        <f t="shared" si="133"/>
        <v>3630331</v>
      </c>
      <c r="M758" s="2" t="str">
        <f>""</f>
        <v/>
      </c>
    </row>
    <row r="759" spans="1:13" x14ac:dyDescent="0.15">
      <c r="A759" s="2" t="str">
        <f t="shared" si="127"/>
        <v>1881110500</v>
      </c>
      <c r="B759" s="2" t="str">
        <f t="shared" si="128"/>
        <v>佐伯・区政調整</v>
      </c>
      <c r="C759" s="2" t="str">
        <f t="shared" si="124"/>
        <v>01ｲ00311</v>
      </c>
      <c r="D759" s="2" t="str">
        <f t="shared" si="125"/>
        <v>肘掛椅子</v>
      </c>
      <c r="E759" s="3" t="str">
        <f t="shared" si="130"/>
        <v>肘付</v>
      </c>
      <c r="F759" s="2" t="str">
        <f t="shared" si="131"/>
        <v>０００１</v>
      </c>
      <c r="G759" s="2" t="str">
        <f>"3620003851"</f>
        <v>3620003851</v>
      </c>
      <c r="H759" s="2" t="str">
        <f t="shared" si="126"/>
        <v>001</v>
      </c>
      <c r="I759" s="2" t="str">
        <f t="shared" si="132"/>
        <v>4100401</v>
      </c>
      <c r="J759" s="2">
        <f>31400</f>
        <v>31400</v>
      </c>
      <c r="K759" s="2" t="str">
        <f t="shared" si="129"/>
        <v>脚</v>
      </c>
      <c r="L759" s="2" t="str">
        <f t="shared" si="133"/>
        <v>3630331</v>
      </c>
      <c r="M759" s="2" t="str">
        <f>""</f>
        <v/>
      </c>
    </row>
    <row r="760" spans="1:13" x14ac:dyDescent="0.15">
      <c r="A760" s="2" t="str">
        <f t="shared" si="127"/>
        <v>1881110500</v>
      </c>
      <c r="B760" s="2" t="str">
        <f t="shared" si="128"/>
        <v>佐伯・区政調整</v>
      </c>
      <c r="C760" s="2" t="str">
        <f t="shared" si="124"/>
        <v>01ｲ00311</v>
      </c>
      <c r="D760" s="2" t="str">
        <f t="shared" si="125"/>
        <v>肘掛椅子</v>
      </c>
      <c r="E760" s="3" t="str">
        <f t="shared" si="130"/>
        <v>肘付</v>
      </c>
      <c r="F760" s="2" t="str">
        <f t="shared" si="131"/>
        <v>０００１</v>
      </c>
      <c r="G760" s="2" t="str">
        <f>"3620003852"</f>
        <v>3620003852</v>
      </c>
      <c r="H760" s="2" t="str">
        <f t="shared" si="126"/>
        <v>001</v>
      </c>
      <c r="I760" s="2" t="str">
        <f t="shared" si="132"/>
        <v>4100401</v>
      </c>
      <c r="J760" s="2">
        <f>31400</f>
        <v>31400</v>
      </c>
      <c r="K760" s="2" t="str">
        <f t="shared" si="129"/>
        <v>脚</v>
      </c>
      <c r="L760" s="2" t="str">
        <f t="shared" si="133"/>
        <v>3630331</v>
      </c>
      <c r="M760" s="2" t="str">
        <f>""</f>
        <v/>
      </c>
    </row>
    <row r="761" spans="1:13" x14ac:dyDescent="0.15">
      <c r="A761" s="2" t="str">
        <f t="shared" si="127"/>
        <v>1881110500</v>
      </c>
      <c r="B761" s="2" t="str">
        <f t="shared" si="128"/>
        <v>佐伯・区政調整</v>
      </c>
      <c r="C761" s="2" t="str">
        <f t="shared" si="124"/>
        <v>01ｲ00311</v>
      </c>
      <c r="D761" s="2" t="str">
        <f t="shared" si="125"/>
        <v>肘掛椅子</v>
      </c>
      <c r="E761" s="3" t="str">
        <f t="shared" si="130"/>
        <v>肘付</v>
      </c>
      <c r="F761" s="2" t="str">
        <f t="shared" si="131"/>
        <v>０００１</v>
      </c>
      <c r="G761" s="2" t="str">
        <f>"3620003853"</f>
        <v>3620003853</v>
      </c>
      <c r="H761" s="2" t="str">
        <f t="shared" si="126"/>
        <v>001</v>
      </c>
      <c r="I761" s="2" t="str">
        <f t="shared" si="132"/>
        <v>4100401</v>
      </c>
      <c r="J761" s="2">
        <f>31400</f>
        <v>31400</v>
      </c>
      <c r="K761" s="2" t="str">
        <f t="shared" si="129"/>
        <v>脚</v>
      </c>
      <c r="L761" s="2" t="str">
        <f t="shared" si="133"/>
        <v>3630331</v>
      </c>
      <c r="M761" s="2" t="str">
        <f>""</f>
        <v/>
      </c>
    </row>
    <row r="762" spans="1:13" x14ac:dyDescent="0.15">
      <c r="A762" s="2" t="str">
        <f t="shared" si="127"/>
        <v>1881110500</v>
      </c>
      <c r="B762" s="2" t="str">
        <f t="shared" si="128"/>
        <v>佐伯・区政調整</v>
      </c>
      <c r="C762" s="2" t="str">
        <f t="shared" si="124"/>
        <v>01ｲ00311</v>
      </c>
      <c r="D762" s="2" t="str">
        <f t="shared" si="125"/>
        <v>肘掛椅子</v>
      </c>
      <c r="E762" s="3" t="str">
        <f t="shared" si="130"/>
        <v>肘付</v>
      </c>
      <c r="F762" s="2" t="str">
        <f t="shared" si="131"/>
        <v>０００１</v>
      </c>
      <c r="G762" s="2" t="str">
        <f>"3620003854"</f>
        <v>3620003854</v>
      </c>
      <c r="H762" s="2" t="str">
        <f t="shared" si="126"/>
        <v>001</v>
      </c>
      <c r="I762" s="2" t="str">
        <f t="shared" si="132"/>
        <v>4100401</v>
      </c>
      <c r="J762" s="2">
        <f>31400</f>
        <v>31400</v>
      </c>
      <c r="K762" s="2" t="str">
        <f t="shared" si="129"/>
        <v>脚</v>
      </c>
      <c r="L762" s="2" t="str">
        <f t="shared" si="133"/>
        <v>3630331</v>
      </c>
      <c r="M762" s="2" t="str">
        <f>""</f>
        <v/>
      </c>
    </row>
    <row r="763" spans="1:13" x14ac:dyDescent="0.15">
      <c r="A763" s="2" t="str">
        <f t="shared" si="127"/>
        <v>1881110500</v>
      </c>
      <c r="B763" s="2" t="str">
        <f t="shared" si="128"/>
        <v>佐伯・区政調整</v>
      </c>
      <c r="C763" s="2" t="str">
        <f t="shared" si="124"/>
        <v>01ｲ00311</v>
      </c>
      <c r="D763" s="2" t="str">
        <f t="shared" si="125"/>
        <v>肘掛椅子</v>
      </c>
      <c r="E763" s="3" t="str">
        <f t="shared" si="130"/>
        <v>肘付</v>
      </c>
      <c r="F763" s="2" t="str">
        <f t="shared" si="131"/>
        <v>０００１</v>
      </c>
      <c r="G763" s="2" t="str">
        <f>"3620003855"</f>
        <v>3620003855</v>
      </c>
      <c r="H763" s="2" t="str">
        <f t="shared" si="126"/>
        <v>001</v>
      </c>
      <c r="I763" s="2" t="str">
        <f t="shared" si="132"/>
        <v>4100401</v>
      </c>
      <c r="J763" s="2">
        <f>31400</f>
        <v>31400</v>
      </c>
      <c r="K763" s="2" t="str">
        <f t="shared" si="129"/>
        <v>脚</v>
      </c>
      <c r="L763" s="2" t="str">
        <f t="shared" si="133"/>
        <v>3630331</v>
      </c>
      <c r="M763" s="2" t="str">
        <f>""</f>
        <v/>
      </c>
    </row>
    <row r="764" spans="1:13" x14ac:dyDescent="0.15">
      <c r="A764" s="2" t="str">
        <f t="shared" si="127"/>
        <v>1881110500</v>
      </c>
      <c r="B764" s="2" t="str">
        <f t="shared" si="128"/>
        <v>佐伯・区政調整</v>
      </c>
      <c r="C764" s="2" t="str">
        <f t="shared" si="124"/>
        <v>01ｲ00311</v>
      </c>
      <c r="D764" s="2" t="str">
        <f t="shared" si="125"/>
        <v>肘掛椅子</v>
      </c>
      <c r="E764" s="3" t="str">
        <f t="shared" si="130"/>
        <v>肘付</v>
      </c>
      <c r="F764" s="2" t="str">
        <f t="shared" si="131"/>
        <v>０００１</v>
      </c>
      <c r="G764" s="2" t="str">
        <f>"3620003856"</f>
        <v>3620003856</v>
      </c>
      <c r="H764" s="2" t="str">
        <f t="shared" si="126"/>
        <v>001</v>
      </c>
      <c r="I764" s="2" t="str">
        <f t="shared" si="132"/>
        <v>4100401</v>
      </c>
      <c r="J764" s="2">
        <f>31400</f>
        <v>31400</v>
      </c>
      <c r="K764" s="2" t="str">
        <f t="shared" si="129"/>
        <v>脚</v>
      </c>
      <c r="L764" s="2" t="str">
        <f t="shared" si="133"/>
        <v>3630331</v>
      </c>
      <c r="M764" s="2" t="str">
        <f>""</f>
        <v/>
      </c>
    </row>
    <row r="765" spans="1:13" x14ac:dyDescent="0.15">
      <c r="A765" s="2" t="str">
        <f t="shared" si="127"/>
        <v>1881110500</v>
      </c>
      <c r="B765" s="2" t="str">
        <f t="shared" si="128"/>
        <v>佐伯・区政調整</v>
      </c>
      <c r="C765" s="2" t="str">
        <f t="shared" si="124"/>
        <v>01ｲ00311</v>
      </c>
      <c r="D765" s="2" t="str">
        <f t="shared" si="125"/>
        <v>肘掛椅子</v>
      </c>
      <c r="E765" s="3" t="str">
        <f t="shared" si="130"/>
        <v>肘付</v>
      </c>
      <c r="F765" s="2" t="str">
        <f t="shared" si="131"/>
        <v>０００１</v>
      </c>
      <c r="G765" s="2" t="str">
        <f>"3620003857"</f>
        <v>3620003857</v>
      </c>
      <c r="H765" s="2" t="str">
        <f t="shared" si="126"/>
        <v>001</v>
      </c>
      <c r="I765" s="2" t="str">
        <f t="shared" si="132"/>
        <v>4100401</v>
      </c>
      <c r="J765" s="2">
        <f>31400</f>
        <v>31400</v>
      </c>
      <c r="K765" s="2" t="str">
        <f t="shared" si="129"/>
        <v>脚</v>
      </c>
      <c r="L765" s="2" t="str">
        <f t="shared" si="133"/>
        <v>3630331</v>
      </c>
      <c r="M765" s="2" t="str">
        <f>""</f>
        <v/>
      </c>
    </row>
    <row r="766" spans="1:13" x14ac:dyDescent="0.15">
      <c r="A766" s="2" t="str">
        <f t="shared" si="127"/>
        <v>1881110500</v>
      </c>
      <c r="B766" s="2" t="str">
        <f t="shared" si="128"/>
        <v>佐伯・区政調整</v>
      </c>
      <c r="C766" s="2" t="str">
        <f t="shared" si="124"/>
        <v>01ｲ00311</v>
      </c>
      <c r="D766" s="2" t="str">
        <f t="shared" si="125"/>
        <v>肘掛椅子</v>
      </c>
      <c r="E766" s="3" t="str">
        <f t="shared" si="130"/>
        <v>肘付</v>
      </c>
      <c r="F766" s="2" t="str">
        <f t="shared" si="131"/>
        <v>０００１</v>
      </c>
      <c r="G766" s="2" t="str">
        <f>"3620003858"</f>
        <v>3620003858</v>
      </c>
      <c r="H766" s="2" t="str">
        <f t="shared" si="126"/>
        <v>001</v>
      </c>
      <c r="I766" s="2" t="str">
        <f t="shared" si="132"/>
        <v>4100401</v>
      </c>
      <c r="J766" s="2">
        <f>31400</f>
        <v>31400</v>
      </c>
      <c r="K766" s="2" t="str">
        <f t="shared" si="129"/>
        <v>脚</v>
      </c>
      <c r="L766" s="2" t="str">
        <f t="shared" si="133"/>
        <v>3630331</v>
      </c>
      <c r="M766" s="2" t="str">
        <f>""</f>
        <v/>
      </c>
    </row>
    <row r="767" spans="1:13" x14ac:dyDescent="0.15">
      <c r="A767" s="2" t="str">
        <f t="shared" si="127"/>
        <v>1881110500</v>
      </c>
      <c r="B767" s="2" t="str">
        <f t="shared" si="128"/>
        <v>佐伯・区政調整</v>
      </c>
      <c r="C767" s="2" t="str">
        <f t="shared" si="124"/>
        <v>01ｲ00311</v>
      </c>
      <c r="D767" s="2" t="str">
        <f t="shared" si="125"/>
        <v>肘掛椅子</v>
      </c>
      <c r="E767" s="3" t="str">
        <f t="shared" si="130"/>
        <v>肘付</v>
      </c>
      <c r="F767" s="2" t="str">
        <f t="shared" si="131"/>
        <v>０００１</v>
      </c>
      <c r="G767" s="2" t="str">
        <f>"3620003859"</f>
        <v>3620003859</v>
      </c>
      <c r="H767" s="2" t="str">
        <f t="shared" si="126"/>
        <v>001</v>
      </c>
      <c r="I767" s="2" t="str">
        <f t="shared" si="132"/>
        <v>4100401</v>
      </c>
      <c r="J767" s="2">
        <f>31400</f>
        <v>31400</v>
      </c>
      <c r="K767" s="2" t="str">
        <f t="shared" si="129"/>
        <v>脚</v>
      </c>
      <c r="L767" s="2" t="str">
        <f t="shared" si="133"/>
        <v>3630331</v>
      </c>
      <c r="M767" s="2" t="str">
        <f>""</f>
        <v/>
      </c>
    </row>
    <row r="768" spans="1:13" x14ac:dyDescent="0.15">
      <c r="A768" s="2" t="str">
        <f t="shared" si="127"/>
        <v>1881110500</v>
      </c>
      <c r="B768" s="2" t="str">
        <f t="shared" si="128"/>
        <v>佐伯・区政調整</v>
      </c>
      <c r="C768" s="2" t="str">
        <f t="shared" si="124"/>
        <v>01ｲ00311</v>
      </c>
      <c r="D768" s="2" t="str">
        <f t="shared" si="125"/>
        <v>肘掛椅子</v>
      </c>
      <c r="E768" s="3" t="str">
        <f t="shared" si="130"/>
        <v>肘付</v>
      </c>
      <c r="F768" s="2" t="str">
        <f t="shared" si="131"/>
        <v>０００１</v>
      </c>
      <c r="G768" s="2" t="str">
        <f>"3620003860"</f>
        <v>3620003860</v>
      </c>
      <c r="H768" s="2" t="str">
        <f t="shared" si="126"/>
        <v>001</v>
      </c>
      <c r="I768" s="2" t="str">
        <f t="shared" si="132"/>
        <v>4100401</v>
      </c>
      <c r="J768" s="2">
        <f>31400</f>
        <v>31400</v>
      </c>
      <c r="K768" s="2" t="str">
        <f t="shared" si="129"/>
        <v>脚</v>
      </c>
      <c r="L768" s="2" t="str">
        <f t="shared" si="133"/>
        <v>3630331</v>
      </c>
      <c r="M768" s="2" t="str">
        <f>""</f>
        <v/>
      </c>
    </row>
    <row r="769" spans="1:13" x14ac:dyDescent="0.15">
      <c r="A769" s="2" t="str">
        <f t="shared" si="127"/>
        <v>1881110500</v>
      </c>
      <c r="B769" s="2" t="str">
        <f t="shared" si="128"/>
        <v>佐伯・区政調整</v>
      </c>
      <c r="C769" s="2" t="str">
        <f t="shared" si="124"/>
        <v>01ｲ00311</v>
      </c>
      <c r="D769" s="2" t="str">
        <f t="shared" si="125"/>
        <v>肘掛椅子</v>
      </c>
      <c r="E769" s="3" t="str">
        <f t="shared" si="130"/>
        <v>肘付</v>
      </c>
      <c r="F769" s="2" t="str">
        <f t="shared" si="131"/>
        <v>０００１</v>
      </c>
      <c r="G769" s="2" t="str">
        <f>"3620003861"</f>
        <v>3620003861</v>
      </c>
      <c r="H769" s="2" t="str">
        <f t="shared" si="126"/>
        <v>001</v>
      </c>
      <c r="I769" s="2" t="str">
        <f t="shared" si="132"/>
        <v>4100401</v>
      </c>
      <c r="J769" s="2">
        <f>31400</f>
        <v>31400</v>
      </c>
      <c r="K769" s="2" t="str">
        <f t="shared" si="129"/>
        <v>脚</v>
      </c>
      <c r="L769" s="2" t="str">
        <f t="shared" si="133"/>
        <v>3630331</v>
      </c>
      <c r="M769" s="2" t="str">
        <f>""</f>
        <v/>
      </c>
    </row>
    <row r="770" spans="1:13" x14ac:dyDescent="0.15">
      <c r="A770" s="2" t="str">
        <f t="shared" si="127"/>
        <v>1881110500</v>
      </c>
      <c r="B770" s="2" t="str">
        <f t="shared" si="128"/>
        <v>佐伯・区政調整</v>
      </c>
      <c r="C770" s="2" t="str">
        <f t="shared" si="124"/>
        <v>01ｲ00311</v>
      </c>
      <c r="D770" s="2" t="str">
        <f t="shared" si="125"/>
        <v>肘掛椅子</v>
      </c>
      <c r="E770" s="3" t="str">
        <f t="shared" si="130"/>
        <v>肘付</v>
      </c>
      <c r="F770" s="2" t="str">
        <f t="shared" si="131"/>
        <v>０００１</v>
      </c>
      <c r="G770" s="2" t="str">
        <f>"3620003862"</f>
        <v>3620003862</v>
      </c>
      <c r="H770" s="2" t="str">
        <f t="shared" si="126"/>
        <v>001</v>
      </c>
      <c r="I770" s="2" t="str">
        <f t="shared" si="132"/>
        <v>4100401</v>
      </c>
      <c r="J770" s="2">
        <f>31400</f>
        <v>31400</v>
      </c>
      <c r="K770" s="2" t="str">
        <f t="shared" si="129"/>
        <v>脚</v>
      </c>
      <c r="L770" s="2" t="str">
        <f t="shared" si="133"/>
        <v>3630331</v>
      </c>
      <c r="M770" s="2" t="str">
        <f>""</f>
        <v/>
      </c>
    </row>
    <row r="771" spans="1:13" x14ac:dyDescent="0.15">
      <c r="A771" s="2" t="str">
        <f t="shared" si="127"/>
        <v>1881110500</v>
      </c>
      <c r="B771" s="2" t="str">
        <f t="shared" si="128"/>
        <v>佐伯・区政調整</v>
      </c>
      <c r="C771" s="2" t="str">
        <f t="shared" si="124"/>
        <v>01ｲ00311</v>
      </c>
      <c r="D771" s="2" t="str">
        <f t="shared" si="125"/>
        <v>肘掛椅子</v>
      </c>
      <c r="E771" s="3" t="str">
        <f t="shared" si="130"/>
        <v>肘付</v>
      </c>
      <c r="F771" s="2" t="str">
        <f t="shared" si="131"/>
        <v>０００１</v>
      </c>
      <c r="G771" s="2" t="str">
        <f>"3620003863"</f>
        <v>3620003863</v>
      </c>
      <c r="H771" s="2" t="str">
        <f t="shared" si="126"/>
        <v>001</v>
      </c>
      <c r="I771" s="2" t="str">
        <f t="shared" si="132"/>
        <v>4100401</v>
      </c>
      <c r="J771" s="2">
        <f>31400</f>
        <v>31400</v>
      </c>
      <c r="K771" s="2" t="str">
        <f t="shared" si="129"/>
        <v>脚</v>
      </c>
      <c r="L771" s="2" t="str">
        <f t="shared" si="133"/>
        <v>3630331</v>
      </c>
      <c r="M771" s="2" t="str">
        <f>""</f>
        <v/>
      </c>
    </row>
    <row r="772" spans="1:13" x14ac:dyDescent="0.15">
      <c r="A772" s="2" t="str">
        <f t="shared" si="127"/>
        <v>1881110500</v>
      </c>
      <c r="B772" s="2" t="str">
        <f t="shared" si="128"/>
        <v>佐伯・区政調整</v>
      </c>
      <c r="C772" s="2" t="str">
        <f t="shared" si="124"/>
        <v>01ｲ00311</v>
      </c>
      <c r="D772" s="2" t="str">
        <f t="shared" si="125"/>
        <v>肘掛椅子</v>
      </c>
      <c r="E772" s="3" t="str">
        <f t="shared" si="130"/>
        <v>肘付</v>
      </c>
      <c r="F772" s="2" t="str">
        <f t="shared" si="131"/>
        <v>０００１</v>
      </c>
      <c r="G772" s="2" t="str">
        <f>"3620003864"</f>
        <v>3620003864</v>
      </c>
      <c r="H772" s="2" t="str">
        <f t="shared" si="126"/>
        <v>001</v>
      </c>
      <c r="I772" s="2" t="str">
        <f t="shared" si="132"/>
        <v>4100401</v>
      </c>
      <c r="J772" s="2">
        <f>31400</f>
        <v>31400</v>
      </c>
      <c r="K772" s="2" t="str">
        <f t="shared" si="129"/>
        <v>脚</v>
      </c>
      <c r="L772" s="2" t="str">
        <f t="shared" si="133"/>
        <v>3630331</v>
      </c>
      <c r="M772" s="2" t="str">
        <f>""</f>
        <v/>
      </c>
    </row>
    <row r="773" spans="1:13" x14ac:dyDescent="0.15">
      <c r="A773" s="2" t="str">
        <f t="shared" si="127"/>
        <v>1881110500</v>
      </c>
      <c r="B773" s="2" t="str">
        <f t="shared" si="128"/>
        <v>佐伯・区政調整</v>
      </c>
      <c r="C773" s="2" t="str">
        <f t="shared" si="124"/>
        <v>01ｲ00311</v>
      </c>
      <c r="D773" s="2" t="str">
        <f t="shared" si="125"/>
        <v>肘掛椅子</v>
      </c>
      <c r="E773" s="3" t="str">
        <f t="shared" si="130"/>
        <v>肘付</v>
      </c>
      <c r="F773" s="2" t="str">
        <f t="shared" si="131"/>
        <v>０００１</v>
      </c>
      <c r="G773" s="2" t="str">
        <f>"3620003865"</f>
        <v>3620003865</v>
      </c>
      <c r="H773" s="2" t="str">
        <f t="shared" si="126"/>
        <v>001</v>
      </c>
      <c r="I773" s="2" t="str">
        <f t="shared" si="132"/>
        <v>4100401</v>
      </c>
      <c r="J773" s="2">
        <f>31400</f>
        <v>31400</v>
      </c>
      <c r="K773" s="2" t="str">
        <f t="shared" si="129"/>
        <v>脚</v>
      </c>
      <c r="L773" s="2" t="str">
        <f t="shared" si="133"/>
        <v>3630331</v>
      </c>
      <c r="M773" s="2" t="str">
        <f>""</f>
        <v/>
      </c>
    </row>
    <row r="774" spans="1:13" x14ac:dyDescent="0.15">
      <c r="A774" s="2" t="str">
        <f t="shared" si="127"/>
        <v>1881110500</v>
      </c>
      <c r="B774" s="2" t="str">
        <f t="shared" si="128"/>
        <v>佐伯・区政調整</v>
      </c>
      <c r="C774" s="2" t="str">
        <f t="shared" si="124"/>
        <v>01ｲ00311</v>
      </c>
      <c r="D774" s="2" t="str">
        <f t="shared" si="125"/>
        <v>肘掛椅子</v>
      </c>
      <c r="E774" s="3" t="str">
        <f t="shared" si="130"/>
        <v>肘付</v>
      </c>
      <c r="F774" s="2" t="str">
        <f t="shared" si="131"/>
        <v>０００１</v>
      </c>
      <c r="G774" s="2" t="str">
        <f>"3620003866"</f>
        <v>3620003866</v>
      </c>
      <c r="H774" s="2" t="str">
        <f t="shared" si="126"/>
        <v>001</v>
      </c>
      <c r="I774" s="2" t="str">
        <f t="shared" si="132"/>
        <v>4100401</v>
      </c>
      <c r="J774" s="2">
        <f>31400</f>
        <v>31400</v>
      </c>
      <c r="K774" s="2" t="str">
        <f t="shared" si="129"/>
        <v>脚</v>
      </c>
      <c r="L774" s="2" t="str">
        <f t="shared" si="133"/>
        <v>3630331</v>
      </c>
      <c r="M774" s="2" t="str">
        <f>""</f>
        <v/>
      </c>
    </row>
    <row r="775" spans="1:13" x14ac:dyDescent="0.15">
      <c r="A775" s="2" t="str">
        <f t="shared" si="127"/>
        <v>1881110500</v>
      </c>
      <c r="B775" s="2" t="str">
        <f t="shared" si="128"/>
        <v>佐伯・区政調整</v>
      </c>
      <c r="C775" s="2" t="str">
        <f t="shared" si="124"/>
        <v>01ｲ00311</v>
      </c>
      <c r="D775" s="2" t="str">
        <f t="shared" si="125"/>
        <v>肘掛椅子</v>
      </c>
      <c r="E775" s="3" t="str">
        <f t="shared" si="130"/>
        <v>肘付</v>
      </c>
      <c r="F775" s="2" t="str">
        <f t="shared" si="131"/>
        <v>０００１</v>
      </c>
      <c r="G775" s="2" t="str">
        <f>"3620003867"</f>
        <v>3620003867</v>
      </c>
      <c r="H775" s="2" t="str">
        <f t="shared" si="126"/>
        <v>001</v>
      </c>
      <c r="I775" s="2" t="str">
        <f t="shared" si="132"/>
        <v>4100401</v>
      </c>
      <c r="J775" s="2">
        <f>31400</f>
        <v>31400</v>
      </c>
      <c r="K775" s="2" t="str">
        <f t="shared" si="129"/>
        <v>脚</v>
      </c>
      <c r="L775" s="2" t="str">
        <f t="shared" si="133"/>
        <v>3630331</v>
      </c>
      <c r="M775" s="2" t="str">
        <f>""</f>
        <v/>
      </c>
    </row>
    <row r="776" spans="1:13" x14ac:dyDescent="0.15">
      <c r="A776" s="2" t="str">
        <f t="shared" si="127"/>
        <v>1881110500</v>
      </c>
      <c r="B776" s="2" t="str">
        <f t="shared" si="128"/>
        <v>佐伯・区政調整</v>
      </c>
      <c r="C776" s="2" t="str">
        <f t="shared" si="124"/>
        <v>01ｲ00311</v>
      </c>
      <c r="D776" s="2" t="str">
        <f t="shared" si="125"/>
        <v>肘掛椅子</v>
      </c>
      <c r="E776" s="3" t="str">
        <f t="shared" si="130"/>
        <v>肘付</v>
      </c>
      <c r="F776" s="2" t="str">
        <f t="shared" si="131"/>
        <v>０００１</v>
      </c>
      <c r="G776" s="2" t="str">
        <f>"3620003868"</f>
        <v>3620003868</v>
      </c>
      <c r="H776" s="2" t="str">
        <f t="shared" si="126"/>
        <v>001</v>
      </c>
      <c r="I776" s="2" t="str">
        <f t="shared" si="132"/>
        <v>4100401</v>
      </c>
      <c r="J776" s="2">
        <f>31400</f>
        <v>31400</v>
      </c>
      <c r="K776" s="2" t="str">
        <f t="shared" si="129"/>
        <v>脚</v>
      </c>
      <c r="L776" s="2" t="str">
        <f t="shared" si="133"/>
        <v>3630331</v>
      </c>
      <c r="M776" s="2" t="str">
        <f>""</f>
        <v/>
      </c>
    </row>
    <row r="777" spans="1:13" x14ac:dyDescent="0.15">
      <c r="A777" s="2" t="str">
        <f t="shared" si="127"/>
        <v>1881110500</v>
      </c>
      <c r="B777" s="2" t="str">
        <f t="shared" si="128"/>
        <v>佐伯・区政調整</v>
      </c>
      <c r="C777" s="2" t="str">
        <f t="shared" si="124"/>
        <v>01ｲ00311</v>
      </c>
      <c r="D777" s="2" t="str">
        <f t="shared" si="125"/>
        <v>肘掛椅子</v>
      </c>
      <c r="E777" s="3" t="str">
        <f t="shared" si="130"/>
        <v>肘付</v>
      </c>
      <c r="F777" s="2" t="str">
        <f t="shared" si="131"/>
        <v>０００１</v>
      </c>
      <c r="G777" s="2" t="str">
        <f>"3620003869"</f>
        <v>3620003869</v>
      </c>
      <c r="H777" s="2" t="str">
        <f t="shared" si="126"/>
        <v>001</v>
      </c>
      <c r="I777" s="2" t="str">
        <f t="shared" si="132"/>
        <v>4100401</v>
      </c>
      <c r="J777" s="2">
        <f>31400</f>
        <v>31400</v>
      </c>
      <c r="K777" s="2" t="str">
        <f t="shared" si="129"/>
        <v>脚</v>
      </c>
      <c r="L777" s="2" t="str">
        <f t="shared" si="133"/>
        <v>3630331</v>
      </c>
      <c r="M777" s="2" t="str">
        <f>""</f>
        <v/>
      </c>
    </row>
    <row r="778" spans="1:13" x14ac:dyDescent="0.15">
      <c r="A778" s="2" t="str">
        <f t="shared" si="127"/>
        <v>1881110500</v>
      </c>
      <c r="B778" s="2" t="str">
        <f t="shared" si="128"/>
        <v>佐伯・区政調整</v>
      </c>
      <c r="C778" s="2" t="str">
        <f t="shared" ref="C778:C841" si="134">"01ｲ00311"</f>
        <v>01ｲ00311</v>
      </c>
      <c r="D778" s="2" t="str">
        <f t="shared" ref="D778:D841" si="135">"肘掛椅子"</f>
        <v>肘掛椅子</v>
      </c>
      <c r="E778" s="3" t="str">
        <f t="shared" si="130"/>
        <v>肘付</v>
      </c>
      <c r="F778" s="2" t="str">
        <f t="shared" si="131"/>
        <v>０００１</v>
      </c>
      <c r="G778" s="2" t="str">
        <f>"3620003870"</f>
        <v>3620003870</v>
      </c>
      <c r="H778" s="2" t="str">
        <f t="shared" ref="H778:H841" si="136">"001"</f>
        <v>001</v>
      </c>
      <c r="I778" s="2" t="str">
        <f t="shared" si="132"/>
        <v>4100401</v>
      </c>
      <c r="J778" s="2">
        <f>31400</f>
        <v>31400</v>
      </c>
      <c r="K778" s="2" t="str">
        <f t="shared" si="129"/>
        <v>脚</v>
      </c>
      <c r="L778" s="2" t="str">
        <f t="shared" si="133"/>
        <v>3630331</v>
      </c>
      <c r="M778" s="2" t="str">
        <f>""</f>
        <v/>
      </c>
    </row>
    <row r="779" spans="1:13" x14ac:dyDescent="0.15">
      <c r="A779" s="2" t="str">
        <f t="shared" si="127"/>
        <v>1881110500</v>
      </c>
      <c r="B779" s="2" t="str">
        <f t="shared" si="128"/>
        <v>佐伯・区政調整</v>
      </c>
      <c r="C779" s="2" t="str">
        <f t="shared" si="134"/>
        <v>01ｲ00311</v>
      </c>
      <c r="D779" s="2" t="str">
        <f t="shared" si="135"/>
        <v>肘掛椅子</v>
      </c>
      <c r="E779" s="3" t="str">
        <f t="shared" si="130"/>
        <v>肘付</v>
      </c>
      <c r="F779" s="2" t="str">
        <f t="shared" si="131"/>
        <v>０００１</v>
      </c>
      <c r="G779" s="2" t="str">
        <f>"3620003871"</f>
        <v>3620003871</v>
      </c>
      <c r="H779" s="2" t="str">
        <f t="shared" si="136"/>
        <v>001</v>
      </c>
      <c r="I779" s="2" t="str">
        <f t="shared" si="132"/>
        <v>4100401</v>
      </c>
      <c r="J779" s="2">
        <f>31400</f>
        <v>31400</v>
      </c>
      <c r="K779" s="2" t="str">
        <f t="shared" si="129"/>
        <v>脚</v>
      </c>
      <c r="L779" s="2" t="str">
        <f t="shared" si="133"/>
        <v>3630331</v>
      </c>
      <c r="M779" s="2" t="str">
        <f>""</f>
        <v/>
      </c>
    </row>
    <row r="780" spans="1:13" x14ac:dyDescent="0.15">
      <c r="A780" s="2" t="str">
        <f t="shared" si="127"/>
        <v>1881110500</v>
      </c>
      <c r="B780" s="2" t="str">
        <f t="shared" si="128"/>
        <v>佐伯・区政調整</v>
      </c>
      <c r="C780" s="2" t="str">
        <f t="shared" si="134"/>
        <v>01ｲ00311</v>
      </c>
      <c r="D780" s="2" t="str">
        <f t="shared" si="135"/>
        <v>肘掛椅子</v>
      </c>
      <c r="E780" s="3" t="str">
        <f t="shared" si="130"/>
        <v>肘付</v>
      </c>
      <c r="F780" s="2" t="str">
        <f t="shared" si="131"/>
        <v>０００１</v>
      </c>
      <c r="G780" s="2" t="str">
        <f>"3620003872"</f>
        <v>3620003872</v>
      </c>
      <c r="H780" s="2" t="str">
        <f t="shared" si="136"/>
        <v>001</v>
      </c>
      <c r="I780" s="2" t="str">
        <f t="shared" si="132"/>
        <v>4100401</v>
      </c>
      <c r="J780" s="2">
        <f>31400</f>
        <v>31400</v>
      </c>
      <c r="K780" s="2" t="str">
        <f t="shared" si="129"/>
        <v>脚</v>
      </c>
      <c r="L780" s="2" t="str">
        <f t="shared" si="133"/>
        <v>3630331</v>
      </c>
      <c r="M780" s="2" t="str">
        <f>""</f>
        <v/>
      </c>
    </row>
    <row r="781" spans="1:13" x14ac:dyDescent="0.15">
      <c r="A781" s="2" t="str">
        <f t="shared" si="127"/>
        <v>1881110500</v>
      </c>
      <c r="B781" s="2" t="str">
        <f t="shared" si="128"/>
        <v>佐伯・区政調整</v>
      </c>
      <c r="C781" s="2" t="str">
        <f t="shared" si="134"/>
        <v>01ｲ00311</v>
      </c>
      <c r="D781" s="2" t="str">
        <f t="shared" si="135"/>
        <v>肘掛椅子</v>
      </c>
      <c r="E781" s="3" t="str">
        <f t="shared" si="130"/>
        <v>肘付</v>
      </c>
      <c r="F781" s="2" t="str">
        <f t="shared" si="131"/>
        <v>０００１</v>
      </c>
      <c r="G781" s="2" t="str">
        <f>"3620003873"</f>
        <v>3620003873</v>
      </c>
      <c r="H781" s="2" t="str">
        <f t="shared" si="136"/>
        <v>001</v>
      </c>
      <c r="I781" s="2" t="str">
        <f t="shared" si="132"/>
        <v>4100401</v>
      </c>
      <c r="J781" s="2">
        <f>31400</f>
        <v>31400</v>
      </c>
      <c r="K781" s="2" t="str">
        <f t="shared" si="129"/>
        <v>脚</v>
      </c>
      <c r="L781" s="2" t="str">
        <f t="shared" si="133"/>
        <v>3630331</v>
      </c>
      <c r="M781" s="2" t="str">
        <f>""</f>
        <v/>
      </c>
    </row>
    <row r="782" spans="1:13" x14ac:dyDescent="0.15">
      <c r="A782" s="2" t="str">
        <f t="shared" si="127"/>
        <v>1881110500</v>
      </c>
      <c r="B782" s="2" t="str">
        <f t="shared" si="128"/>
        <v>佐伯・区政調整</v>
      </c>
      <c r="C782" s="2" t="str">
        <f t="shared" si="134"/>
        <v>01ｲ00311</v>
      </c>
      <c r="D782" s="2" t="str">
        <f t="shared" si="135"/>
        <v>肘掛椅子</v>
      </c>
      <c r="E782" s="3" t="str">
        <f t="shared" si="130"/>
        <v>肘付</v>
      </c>
      <c r="F782" s="2" t="str">
        <f t="shared" si="131"/>
        <v>０００１</v>
      </c>
      <c r="G782" s="2" t="str">
        <f>"3620003874"</f>
        <v>3620003874</v>
      </c>
      <c r="H782" s="2" t="str">
        <f t="shared" si="136"/>
        <v>001</v>
      </c>
      <c r="I782" s="2" t="str">
        <f t="shared" si="132"/>
        <v>4100401</v>
      </c>
      <c r="J782" s="2">
        <f>31400</f>
        <v>31400</v>
      </c>
      <c r="K782" s="2" t="str">
        <f t="shared" si="129"/>
        <v>脚</v>
      </c>
      <c r="L782" s="2" t="str">
        <f t="shared" si="133"/>
        <v>3630331</v>
      </c>
      <c r="M782" s="2" t="str">
        <f>""</f>
        <v/>
      </c>
    </row>
    <row r="783" spans="1:13" x14ac:dyDescent="0.15">
      <c r="A783" s="2" t="str">
        <f t="shared" si="127"/>
        <v>1881110500</v>
      </c>
      <c r="B783" s="2" t="str">
        <f t="shared" si="128"/>
        <v>佐伯・区政調整</v>
      </c>
      <c r="C783" s="2" t="str">
        <f t="shared" si="134"/>
        <v>01ｲ00311</v>
      </c>
      <c r="D783" s="2" t="str">
        <f t="shared" si="135"/>
        <v>肘掛椅子</v>
      </c>
      <c r="E783" s="3" t="str">
        <f t="shared" si="130"/>
        <v>肘付</v>
      </c>
      <c r="F783" s="2" t="str">
        <f t="shared" si="131"/>
        <v>０００１</v>
      </c>
      <c r="G783" s="2" t="str">
        <f>"3620003875"</f>
        <v>3620003875</v>
      </c>
      <c r="H783" s="2" t="str">
        <f t="shared" si="136"/>
        <v>001</v>
      </c>
      <c r="I783" s="2" t="str">
        <f t="shared" si="132"/>
        <v>4100401</v>
      </c>
      <c r="J783" s="2">
        <f>31400</f>
        <v>31400</v>
      </c>
      <c r="K783" s="2" t="str">
        <f t="shared" si="129"/>
        <v>脚</v>
      </c>
      <c r="L783" s="2" t="str">
        <f t="shared" si="133"/>
        <v>3630331</v>
      </c>
      <c r="M783" s="2" t="str">
        <f>""</f>
        <v/>
      </c>
    </row>
    <row r="784" spans="1:13" x14ac:dyDescent="0.15">
      <c r="A784" s="2" t="str">
        <f t="shared" si="127"/>
        <v>1881110500</v>
      </c>
      <c r="B784" s="2" t="str">
        <f t="shared" si="128"/>
        <v>佐伯・区政調整</v>
      </c>
      <c r="C784" s="2" t="str">
        <f t="shared" si="134"/>
        <v>01ｲ00311</v>
      </c>
      <c r="D784" s="2" t="str">
        <f t="shared" si="135"/>
        <v>肘掛椅子</v>
      </c>
      <c r="E784" s="3" t="str">
        <f t="shared" si="130"/>
        <v>肘付</v>
      </c>
      <c r="F784" s="2" t="str">
        <f t="shared" si="131"/>
        <v>０００１</v>
      </c>
      <c r="G784" s="2" t="str">
        <f>"3620003876"</f>
        <v>3620003876</v>
      </c>
      <c r="H784" s="2" t="str">
        <f t="shared" si="136"/>
        <v>001</v>
      </c>
      <c r="I784" s="2" t="str">
        <f t="shared" si="132"/>
        <v>4100401</v>
      </c>
      <c r="J784" s="2">
        <f>31400</f>
        <v>31400</v>
      </c>
      <c r="K784" s="2" t="str">
        <f t="shared" si="129"/>
        <v>脚</v>
      </c>
      <c r="L784" s="2" t="str">
        <f t="shared" si="133"/>
        <v>3630331</v>
      </c>
      <c r="M784" s="2" t="str">
        <f>""</f>
        <v/>
      </c>
    </row>
    <row r="785" spans="1:13" x14ac:dyDescent="0.15">
      <c r="A785" s="2" t="str">
        <f t="shared" si="127"/>
        <v>1881110500</v>
      </c>
      <c r="B785" s="2" t="str">
        <f t="shared" si="128"/>
        <v>佐伯・区政調整</v>
      </c>
      <c r="C785" s="2" t="str">
        <f t="shared" si="134"/>
        <v>01ｲ00311</v>
      </c>
      <c r="D785" s="2" t="str">
        <f t="shared" si="135"/>
        <v>肘掛椅子</v>
      </c>
      <c r="E785" s="3" t="str">
        <f t="shared" si="130"/>
        <v>肘付</v>
      </c>
      <c r="F785" s="2" t="str">
        <f t="shared" si="131"/>
        <v>０００１</v>
      </c>
      <c r="G785" s="2" t="str">
        <f>"3620003877"</f>
        <v>3620003877</v>
      </c>
      <c r="H785" s="2" t="str">
        <f t="shared" si="136"/>
        <v>001</v>
      </c>
      <c r="I785" s="2" t="str">
        <f t="shared" si="132"/>
        <v>4100401</v>
      </c>
      <c r="J785" s="2">
        <f>31400</f>
        <v>31400</v>
      </c>
      <c r="K785" s="2" t="str">
        <f t="shared" si="129"/>
        <v>脚</v>
      </c>
      <c r="L785" s="2" t="str">
        <f t="shared" si="133"/>
        <v>3630331</v>
      </c>
      <c r="M785" s="2" t="str">
        <f>""</f>
        <v/>
      </c>
    </row>
    <row r="786" spans="1:13" x14ac:dyDescent="0.15">
      <c r="A786" s="2" t="str">
        <f t="shared" si="127"/>
        <v>1881110500</v>
      </c>
      <c r="B786" s="2" t="str">
        <f t="shared" si="128"/>
        <v>佐伯・区政調整</v>
      </c>
      <c r="C786" s="2" t="str">
        <f t="shared" si="134"/>
        <v>01ｲ00311</v>
      </c>
      <c r="D786" s="2" t="str">
        <f t="shared" si="135"/>
        <v>肘掛椅子</v>
      </c>
      <c r="E786" s="3" t="str">
        <f t="shared" si="130"/>
        <v>肘付</v>
      </c>
      <c r="F786" s="2" t="str">
        <f t="shared" si="131"/>
        <v>０００１</v>
      </c>
      <c r="G786" s="2" t="str">
        <f>"3620003878"</f>
        <v>3620003878</v>
      </c>
      <c r="H786" s="2" t="str">
        <f t="shared" si="136"/>
        <v>001</v>
      </c>
      <c r="I786" s="2" t="str">
        <f t="shared" si="132"/>
        <v>4100401</v>
      </c>
      <c r="J786" s="2">
        <f>31400</f>
        <v>31400</v>
      </c>
      <c r="K786" s="2" t="str">
        <f t="shared" si="129"/>
        <v>脚</v>
      </c>
      <c r="L786" s="2" t="str">
        <f t="shared" si="133"/>
        <v>3630331</v>
      </c>
      <c r="M786" s="2" t="str">
        <f>""</f>
        <v/>
      </c>
    </row>
    <row r="787" spans="1:13" x14ac:dyDescent="0.15">
      <c r="A787" s="2" t="str">
        <f t="shared" si="127"/>
        <v>1881110500</v>
      </c>
      <c r="B787" s="2" t="str">
        <f t="shared" si="128"/>
        <v>佐伯・区政調整</v>
      </c>
      <c r="C787" s="2" t="str">
        <f t="shared" si="134"/>
        <v>01ｲ00311</v>
      </c>
      <c r="D787" s="2" t="str">
        <f t="shared" si="135"/>
        <v>肘掛椅子</v>
      </c>
      <c r="E787" s="3" t="str">
        <f t="shared" si="130"/>
        <v>肘付</v>
      </c>
      <c r="F787" s="2" t="str">
        <f t="shared" si="131"/>
        <v>０００１</v>
      </c>
      <c r="G787" s="2" t="str">
        <f>"3620003879"</f>
        <v>3620003879</v>
      </c>
      <c r="H787" s="2" t="str">
        <f t="shared" si="136"/>
        <v>001</v>
      </c>
      <c r="I787" s="2" t="str">
        <f t="shared" si="132"/>
        <v>4100401</v>
      </c>
      <c r="J787" s="2">
        <f>31400</f>
        <v>31400</v>
      </c>
      <c r="K787" s="2" t="str">
        <f t="shared" si="129"/>
        <v>脚</v>
      </c>
      <c r="L787" s="2" t="str">
        <f t="shared" si="133"/>
        <v>3630331</v>
      </c>
      <c r="M787" s="2" t="str">
        <f>""</f>
        <v/>
      </c>
    </row>
    <row r="788" spans="1:13" x14ac:dyDescent="0.15">
      <c r="A788" s="2" t="str">
        <f t="shared" si="127"/>
        <v>1881110500</v>
      </c>
      <c r="B788" s="2" t="str">
        <f t="shared" si="128"/>
        <v>佐伯・区政調整</v>
      </c>
      <c r="C788" s="2" t="str">
        <f t="shared" si="134"/>
        <v>01ｲ00311</v>
      </c>
      <c r="D788" s="2" t="str">
        <f t="shared" si="135"/>
        <v>肘掛椅子</v>
      </c>
      <c r="E788" s="3" t="str">
        <f t="shared" si="130"/>
        <v>肘付</v>
      </c>
      <c r="F788" s="2" t="str">
        <f t="shared" si="131"/>
        <v>０００１</v>
      </c>
      <c r="G788" s="2" t="str">
        <f>"3620003880"</f>
        <v>3620003880</v>
      </c>
      <c r="H788" s="2" t="str">
        <f t="shared" si="136"/>
        <v>001</v>
      </c>
      <c r="I788" s="2" t="str">
        <f t="shared" si="132"/>
        <v>4100401</v>
      </c>
      <c r="J788" s="2">
        <f>31400</f>
        <v>31400</v>
      </c>
      <c r="K788" s="2" t="str">
        <f t="shared" si="129"/>
        <v>脚</v>
      </c>
      <c r="L788" s="2" t="str">
        <f t="shared" si="133"/>
        <v>3630331</v>
      </c>
      <c r="M788" s="2" t="str">
        <f>""</f>
        <v/>
      </c>
    </row>
    <row r="789" spans="1:13" x14ac:dyDescent="0.15">
      <c r="A789" s="2" t="str">
        <f t="shared" si="127"/>
        <v>1881110500</v>
      </c>
      <c r="B789" s="2" t="str">
        <f t="shared" si="128"/>
        <v>佐伯・区政調整</v>
      </c>
      <c r="C789" s="2" t="str">
        <f t="shared" si="134"/>
        <v>01ｲ00311</v>
      </c>
      <c r="D789" s="2" t="str">
        <f t="shared" si="135"/>
        <v>肘掛椅子</v>
      </c>
      <c r="E789" s="3" t="str">
        <f t="shared" si="130"/>
        <v>肘付</v>
      </c>
      <c r="F789" s="2" t="str">
        <f t="shared" si="131"/>
        <v>０００１</v>
      </c>
      <c r="G789" s="2" t="str">
        <f>"3620003881"</f>
        <v>3620003881</v>
      </c>
      <c r="H789" s="2" t="str">
        <f t="shared" si="136"/>
        <v>001</v>
      </c>
      <c r="I789" s="2" t="str">
        <f t="shared" si="132"/>
        <v>4100401</v>
      </c>
      <c r="J789" s="2">
        <f>31400</f>
        <v>31400</v>
      </c>
      <c r="K789" s="2" t="str">
        <f t="shared" si="129"/>
        <v>脚</v>
      </c>
      <c r="L789" s="2" t="str">
        <f t="shared" si="133"/>
        <v>3630331</v>
      </c>
      <c r="M789" s="2" t="str">
        <f>""</f>
        <v/>
      </c>
    </row>
    <row r="790" spans="1:13" x14ac:dyDescent="0.15">
      <c r="A790" s="2" t="str">
        <f t="shared" si="127"/>
        <v>1881110500</v>
      </c>
      <c r="B790" s="2" t="str">
        <f t="shared" si="128"/>
        <v>佐伯・区政調整</v>
      </c>
      <c r="C790" s="2" t="str">
        <f t="shared" si="134"/>
        <v>01ｲ00311</v>
      </c>
      <c r="D790" s="2" t="str">
        <f t="shared" si="135"/>
        <v>肘掛椅子</v>
      </c>
      <c r="E790" s="3" t="str">
        <f t="shared" si="130"/>
        <v>肘付</v>
      </c>
      <c r="F790" s="2" t="str">
        <f t="shared" si="131"/>
        <v>０００１</v>
      </c>
      <c r="G790" s="2" t="str">
        <f>"3620003882"</f>
        <v>3620003882</v>
      </c>
      <c r="H790" s="2" t="str">
        <f t="shared" si="136"/>
        <v>001</v>
      </c>
      <c r="I790" s="2" t="str">
        <f t="shared" si="132"/>
        <v>4100401</v>
      </c>
      <c r="J790" s="2">
        <f>31400</f>
        <v>31400</v>
      </c>
      <c r="K790" s="2" t="str">
        <f t="shared" si="129"/>
        <v>脚</v>
      </c>
      <c r="L790" s="2" t="str">
        <f t="shared" si="133"/>
        <v>3630331</v>
      </c>
      <c r="M790" s="2" t="str">
        <f>""</f>
        <v/>
      </c>
    </row>
    <row r="791" spans="1:13" x14ac:dyDescent="0.15">
      <c r="A791" s="2" t="str">
        <f t="shared" si="127"/>
        <v>1881110500</v>
      </c>
      <c r="B791" s="2" t="str">
        <f t="shared" si="128"/>
        <v>佐伯・区政調整</v>
      </c>
      <c r="C791" s="2" t="str">
        <f t="shared" si="134"/>
        <v>01ｲ00311</v>
      </c>
      <c r="D791" s="2" t="str">
        <f t="shared" si="135"/>
        <v>肘掛椅子</v>
      </c>
      <c r="E791" s="3" t="str">
        <f t="shared" si="130"/>
        <v>肘付</v>
      </c>
      <c r="F791" s="2" t="str">
        <f t="shared" si="131"/>
        <v>０００１</v>
      </c>
      <c r="G791" s="2" t="str">
        <f>"3620003883"</f>
        <v>3620003883</v>
      </c>
      <c r="H791" s="2" t="str">
        <f t="shared" si="136"/>
        <v>001</v>
      </c>
      <c r="I791" s="2" t="str">
        <f t="shared" si="132"/>
        <v>4100401</v>
      </c>
      <c r="J791" s="2">
        <f>31400</f>
        <v>31400</v>
      </c>
      <c r="K791" s="2" t="str">
        <f t="shared" si="129"/>
        <v>脚</v>
      </c>
      <c r="L791" s="2" t="str">
        <f t="shared" si="133"/>
        <v>3630331</v>
      </c>
      <c r="M791" s="2" t="str">
        <f>""</f>
        <v/>
      </c>
    </row>
    <row r="792" spans="1:13" x14ac:dyDescent="0.15">
      <c r="A792" s="2" t="str">
        <f t="shared" si="127"/>
        <v>1881110500</v>
      </c>
      <c r="B792" s="2" t="str">
        <f t="shared" si="128"/>
        <v>佐伯・区政調整</v>
      </c>
      <c r="C792" s="2" t="str">
        <f t="shared" si="134"/>
        <v>01ｲ00311</v>
      </c>
      <c r="D792" s="2" t="str">
        <f t="shared" si="135"/>
        <v>肘掛椅子</v>
      </c>
      <c r="E792" s="3" t="str">
        <f t="shared" si="130"/>
        <v>肘付</v>
      </c>
      <c r="F792" s="2" t="str">
        <f t="shared" si="131"/>
        <v>０００１</v>
      </c>
      <c r="G792" s="2" t="str">
        <f>"3620003884"</f>
        <v>3620003884</v>
      </c>
      <c r="H792" s="2" t="str">
        <f t="shared" si="136"/>
        <v>001</v>
      </c>
      <c r="I792" s="2" t="str">
        <f t="shared" si="132"/>
        <v>4100401</v>
      </c>
      <c r="J792" s="2">
        <f>31400</f>
        <v>31400</v>
      </c>
      <c r="K792" s="2" t="str">
        <f t="shared" si="129"/>
        <v>脚</v>
      </c>
      <c r="L792" s="2" t="str">
        <f t="shared" si="133"/>
        <v>3630331</v>
      </c>
      <c r="M792" s="2" t="str">
        <f>""</f>
        <v/>
      </c>
    </row>
    <row r="793" spans="1:13" x14ac:dyDescent="0.15">
      <c r="A793" s="2" t="str">
        <f t="shared" si="127"/>
        <v>1881110500</v>
      </c>
      <c r="B793" s="2" t="str">
        <f t="shared" si="128"/>
        <v>佐伯・区政調整</v>
      </c>
      <c r="C793" s="2" t="str">
        <f t="shared" si="134"/>
        <v>01ｲ00311</v>
      </c>
      <c r="D793" s="2" t="str">
        <f t="shared" si="135"/>
        <v>肘掛椅子</v>
      </c>
      <c r="E793" s="3" t="str">
        <f t="shared" si="130"/>
        <v>肘付</v>
      </c>
      <c r="F793" s="2" t="str">
        <f t="shared" si="131"/>
        <v>０００１</v>
      </c>
      <c r="G793" s="2" t="str">
        <f>"3620003885"</f>
        <v>3620003885</v>
      </c>
      <c r="H793" s="2" t="str">
        <f t="shared" si="136"/>
        <v>001</v>
      </c>
      <c r="I793" s="2" t="str">
        <f t="shared" si="132"/>
        <v>4100401</v>
      </c>
      <c r="J793" s="2">
        <f>31400</f>
        <v>31400</v>
      </c>
      <c r="K793" s="2" t="str">
        <f t="shared" si="129"/>
        <v>脚</v>
      </c>
      <c r="L793" s="2" t="str">
        <f t="shared" si="133"/>
        <v>3630331</v>
      </c>
      <c r="M793" s="2" t="str">
        <f>""</f>
        <v/>
      </c>
    </row>
    <row r="794" spans="1:13" x14ac:dyDescent="0.15">
      <c r="A794" s="2" t="str">
        <f t="shared" ref="A794:A857" si="137">"1881110500"</f>
        <v>1881110500</v>
      </c>
      <c r="B794" s="2" t="str">
        <f t="shared" ref="B794:B857" si="138">"佐伯・区政調整"</f>
        <v>佐伯・区政調整</v>
      </c>
      <c r="C794" s="2" t="str">
        <f t="shared" si="134"/>
        <v>01ｲ00311</v>
      </c>
      <c r="D794" s="2" t="str">
        <f t="shared" si="135"/>
        <v>肘掛椅子</v>
      </c>
      <c r="E794" s="3" t="str">
        <f t="shared" si="130"/>
        <v>肘付</v>
      </c>
      <c r="F794" s="2" t="str">
        <f t="shared" si="131"/>
        <v>０００１</v>
      </c>
      <c r="G794" s="2" t="str">
        <f>"3620003886"</f>
        <v>3620003886</v>
      </c>
      <c r="H794" s="2" t="str">
        <f t="shared" si="136"/>
        <v>001</v>
      </c>
      <c r="I794" s="2" t="str">
        <f t="shared" si="132"/>
        <v>4100401</v>
      </c>
      <c r="J794" s="2">
        <f>31400</f>
        <v>31400</v>
      </c>
      <c r="K794" s="2" t="str">
        <f t="shared" ref="K794:K857" si="139">"脚"</f>
        <v>脚</v>
      </c>
      <c r="L794" s="2" t="str">
        <f t="shared" si="133"/>
        <v>3630331</v>
      </c>
      <c r="M794" s="2" t="str">
        <f>""</f>
        <v/>
      </c>
    </row>
    <row r="795" spans="1:13" x14ac:dyDescent="0.15">
      <c r="A795" s="2" t="str">
        <f t="shared" si="137"/>
        <v>1881110500</v>
      </c>
      <c r="B795" s="2" t="str">
        <f t="shared" si="138"/>
        <v>佐伯・区政調整</v>
      </c>
      <c r="C795" s="2" t="str">
        <f t="shared" si="134"/>
        <v>01ｲ00311</v>
      </c>
      <c r="D795" s="2" t="str">
        <f t="shared" si="135"/>
        <v>肘掛椅子</v>
      </c>
      <c r="E795" s="3" t="str">
        <f t="shared" si="130"/>
        <v>肘付</v>
      </c>
      <c r="F795" s="2" t="str">
        <f t="shared" si="131"/>
        <v>０００１</v>
      </c>
      <c r="G795" s="2" t="str">
        <f>"3620003887"</f>
        <v>3620003887</v>
      </c>
      <c r="H795" s="2" t="str">
        <f t="shared" si="136"/>
        <v>001</v>
      </c>
      <c r="I795" s="2" t="str">
        <f t="shared" si="132"/>
        <v>4100401</v>
      </c>
      <c r="J795" s="2">
        <f>31400</f>
        <v>31400</v>
      </c>
      <c r="K795" s="2" t="str">
        <f t="shared" si="139"/>
        <v>脚</v>
      </c>
      <c r="L795" s="2" t="str">
        <f t="shared" si="133"/>
        <v>3630331</v>
      </c>
      <c r="M795" s="2" t="str">
        <f>""</f>
        <v/>
      </c>
    </row>
    <row r="796" spans="1:13" x14ac:dyDescent="0.15">
      <c r="A796" s="2" t="str">
        <f t="shared" si="137"/>
        <v>1881110500</v>
      </c>
      <c r="B796" s="2" t="str">
        <f t="shared" si="138"/>
        <v>佐伯・区政調整</v>
      </c>
      <c r="C796" s="2" t="str">
        <f t="shared" si="134"/>
        <v>01ｲ00311</v>
      </c>
      <c r="D796" s="2" t="str">
        <f t="shared" si="135"/>
        <v>肘掛椅子</v>
      </c>
      <c r="E796" s="3" t="str">
        <f t="shared" si="130"/>
        <v>肘付</v>
      </c>
      <c r="F796" s="2" t="str">
        <f t="shared" si="131"/>
        <v>０００１</v>
      </c>
      <c r="G796" s="2" t="str">
        <f>"3620003888"</f>
        <v>3620003888</v>
      </c>
      <c r="H796" s="2" t="str">
        <f t="shared" si="136"/>
        <v>001</v>
      </c>
      <c r="I796" s="2" t="str">
        <f t="shared" si="132"/>
        <v>4100401</v>
      </c>
      <c r="J796" s="2">
        <f>31400</f>
        <v>31400</v>
      </c>
      <c r="K796" s="2" t="str">
        <f t="shared" si="139"/>
        <v>脚</v>
      </c>
      <c r="L796" s="2" t="str">
        <f t="shared" si="133"/>
        <v>3630331</v>
      </c>
      <c r="M796" s="2" t="str">
        <f>""</f>
        <v/>
      </c>
    </row>
    <row r="797" spans="1:13" x14ac:dyDescent="0.15">
      <c r="A797" s="2" t="str">
        <f t="shared" si="137"/>
        <v>1881110500</v>
      </c>
      <c r="B797" s="2" t="str">
        <f t="shared" si="138"/>
        <v>佐伯・区政調整</v>
      </c>
      <c r="C797" s="2" t="str">
        <f t="shared" si="134"/>
        <v>01ｲ00311</v>
      </c>
      <c r="D797" s="2" t="str">
        <f t="shared" si="135"/>
        <v>肘掛椅子</v>
      </c>
      <c r="E797" s="3" t="str">
        <f t="shared" si="130"/>
        <v>肘付</v>
      </c>
      <c r="F797" s="2" t="str">
        <f t="shared" si="131"/>
        <v>０００１</v>
      </c>
      <c r="G797" s="2" t="str">
        <f>"3620003889"</f>
        <v>3620003889</v>
      </c>
      <c r="H797" s="2" t="str">
        <f t="shared" si="136"/>
        <v>001</v>
      </c>
      <c r="I797" s="2" t="str">
        <f t="shared" si="132"/>
        <v>4100401</v>
      </c>
      <c r="J797" s="2">
        <f>31400</f>
        <v>31400</v>
      </c>
      <c r="K797" s="2" t="str">
        <f t="shared" si="139"/>
        <v>脚</v>
      </c>
      <c r="L797" s="2" t="str">
        <f t="shared" si="133"/>
        <v>3630331</v>
      </c>
      <c r="M797" s="2" t="str">
        <f>""</f>
        <v/>
      </c>
    </row>
    <row r="798" spans="1:13" x14ac:dyDescent="0.15">
      <c r="A798" s="2" t="str">
        <f t="shared" si="137"/>
        <v>1881110500</v>
      </c>
      <c r="B798" s="2" t="str">
        <f t="shared" si="138"/>
        <v>佐伯・区政調整</v>
      </c>
      <c r="C798" s="2" t="str">
        <f t="shared" si="134"/>
        <v>01ｲ00311</v>
      </c>
      <c r="D798" s="2" t="str">
        <f t="shared" si="135"/>
        <v>肘掛椅子</v>
      </c>
      <c r="E798" s="3" t="str">
        <f t="shared" si="130"/>
        <v>肘付</v>
      </c>
      <c r="F798" s="2" t="str">
        <f t="shared" si="131"/>
        <v>０００１</v>
      </c>
      <c r="G798" s="2" t="str">
        <f>"3620003890"</f>
        <v>3620003890</v>
      </c>
      <c r="H798" s="2" t="str">
        <f t="shared" si="136"/>
        <v>001</v>
      </c>
      <c r="I798" s="2" t="str">
        <f t="shared" si="132"/>
        <v>4100401</v>
      </c>
      <c r="J798" s="2">
        <f>31400</f>
        <v>31400</v>
      </c>
      <c r="K798" s="2" t="str">
        <f t="shared" si="139"/>
        <v>脚</v>
      </c>
      <c r="L798" s="2" t="str">
        <f t="shared" si="133"/>
        <v>3630331</v>
      </c>
      <c r="M798" s="2" t="str">
        <f>""</f>
        <v/>
      </c>
    </row>
    <row r="799" spans="1:13" x14ac:dyDescent="0.15">
      <c r="A799" s="2" t="str">
        <f t="shared" si="137"/>
        <v>1881110500</v>
      </c>
      <c r="B799" s="2" t="str">
        <f t="shared" si="138"/>
        <v>佐伯・区政調整</v>
      </c>
      <c r="C799" s="2" t="str">
        <f t="shared" si="134"/>
        <v>01ｲ00311</v>
      </c>
      <c r="D799" s="2" t="str">
        <f t="shared" si="135"/>
        <v>肘掛椅子</v>
      </c>
      <c r="E799" s="3" t="str">
        <f t="shared" si="130"/>
        <v>肘付</v>
      </c>
      <c r="F799" s="2" t="str">
        <f t="shared" si="131"/>
        <v>０００１</v>
      </c>
      <c r="G799" s="2" t="str">
        <f>"3620003891"</f>
        <v>3620003891</v>
      </c>
      <c r="H799" s="2" t="str">
        <f t="shared" si="136"/>
        <v>001</v>
      </c>
      <c r="I799" s="2" t="str">
        <f t="shared" si="132"/>
        <v>4100401</v>
      </c>
      <c r="J799" s="2">
        <f>31400</f>
        <v>31400</v>
      </c>
      <c r="K799" s="2" t="str">
        <f t="shared" si="139"/>
        <v>脚</v>
      </c>
      <c r="L799" s="2" t="str">
        <f t="shared" si="133"/>
        <v>3630331</v>
      </c>
      <c r="M799" s="2" t="str">
        <f>""</f>
        <v/>
      </c>
    </row>
    <row r="800" spans="1:13" x14ac:dyDescent="0.15">
      <c r="A800" s="2" t="str">
        <f t="shared" si="137"/>
        <v>1881110500</v>
      </c>
      <c r="B800" s="2" t="str">
        <f t="shared" si="138"/>
        <v>佐伯・区政調整</v>
      </c>
      <c r="C800" s="2" t="str">
        <f t="shared" si="134"/>
        <v>01ｲ00311</v>
      </c>
      <c r="D800" s="2" t="str">
        <f t="shared" si="135"/>
        <v>肘掛椅子</v>
      </c>
      <c r="E800" s="3" t="str">
        <f t="shared" si="130"/>
        <v>肘付</v>
      </c>
      <c r="F800" s="2" t="str">
        <f t="shared" si="131"/>
        <v>０００１</v>
      </c>
      <c r="G800" s="2" t="str">
        <f>"3620003892"</f>
        <v>3620003892</v>
      </c>
      <c r="H800" s="2" t="str">
        <f t="shared" si="136"/>
        <v>001</v>
      </c>
      <c r="I800" s="2" t="str">
        <f t="shared" si="132"/>
        <v>4100401</v>
      </c>
      <c r="J800" s="2">
        <f>31400</f>
        <v>31400</v>
      </c>
      <c r="K800" s="2" t="str">
        <f t="shared" si="139"/>
        <v>脚</v>
      </c>
      <c r="L800" s="2" t="str">
        <f t="shared" si="133"/>
        <v>3630331</v>
      </c>
      <c r="M800" s="2" t="str">
        <f>""</f>
        <v/>
      </c>
    </row>
    <row r="801" spans="1:13" x14ac:dyDescent="0.15">
      <c r="A801" s="2" t="str">
        <f t="shared" si="137"/>
        <v>1881110500</v>
      </c>
      <c r="B801" s="2" t="str">
        <f t="shared" si="138"/>
        <v>佐伯・区政調整</v>
      </c>
      <c r="C801" s="2" t="str">
        <f t="shared" si="134"/>
        <v>01ｲ00311</v>
      </c>
      <c r="D801" s="2" t="str">
        <f t="shared" si="135"/>
        <v>肘掛椅子</v>
      </c>
      <c r="E801" s="3" t="str">
        <f t="shared" si="130"/>
        <v>肘付</v>
      </c>
      <c r="F801" s="2" t="str">
        <f t="shared" si="131"/>
        <v>０００１</v>
      </c>
      <c r="G801" s="2" t="str">
        <f>"3620003893"</f>
        <v>3620003893</v>
      </c>
      <c r="H801" s="2" t="str">
        <f t="shared" si="136"/>
        <v>001</v>
      </c>
      <c r="I801" s="2" t="str">
        <f t="shared" si="132"/>
        <v>4100401</v>
      </c>
      <c r="J801" s="2">
        <f>31400</f>
        <v>31400</v>
      </c>
      <c r="K801" s="2" t="str">
        <f t="shared" si="139"/>
        <v>脚</v>
      </c>
      <c r="L801" s="2" t="str">
        <f t="shared" si="133"/>
        <v>3630331</v>
      </c>
      <c r="M801" s="2" t="str">
        <f>""</f>
        <v/>
      </c>
    </row>
    <row r="802" spans="1:13" x14ac:dyDescent="0.15">
      <c r="A802" s="2" t="str">
        <f t="shared" si="137"/>
        <v>1881110500</v>
      </c>
      <c r="B802" s="2" t="str">
        <f t="shared" si="138"/>
        <v>佐伯・区政調整</v>
      </c>
      <c r="C802" s="2" t="str">
        <f t="shared" si="134"/>
        <v>01ｲ00311</v>
      </c>
      <c r="D802" s="2" t="str">
        <f t="shared" si="135"/>
        <v>肘掛椅子</v>
      </c>
      <c r="E802" s="3" t="str">
        <f t="shared" ref="E802:E865" si="140">"肘付"</f>
        <v>肘付</v>
      </c>
      <c r="F802" s="2" t="str">
        <f t="shared" ref="F802:F865" si="141">"０００１"</f>
        <v>０００１</v>
      </c>
      <c r="G802" s="2" t="str">
        <f>"3620003894"</f>
        <v>3620003894</v>
      </c>
      <c r="H802" s="2" t="str">
        <f t="shared" si="136"/>
        <v>001</v>
      </c>
      <c r="I802" s="2" t="str">
        <f t="shared" ref="I802:I865" si="142">"4100401"</f>
        <v>4100401</v>
      </c>
      <c r="J802" s="2">
        <f>31400</f>
        <v>31400</v>
      </c>
      <c r="K802" s="2" t="str">
        <f t="shared" si="139"/>
        <v>脚</v>
      </c>
      <c r="L802" s="2" t="str">
        <f t="shared" ref="L802:L865" si="143">"3630331"</f>
        <v>3630331</v>
      </c>
      <c r="M802" s="2" t="str">
        <f>""</f>
        <v/>
      </c>
    </row>
    <row r="803" spans="1:13" x14ac:dyDescent="0.15">
      <c r="A803" s="2" t="str">
        <f t="shared" si="137"/>
        <v>1881110500</v>
      </c>
      <c r="B803" s="2" t="str">
        <f t="shared" si="138"/>
        <v>佐伯・区政調整</v>
      </c>
      <c r="C803" s="2" t="str">
        <f t="shared" si="134"/>
        <v>01ｲ00311</v>
      </c>
      <c r="D803" s="2" t="str">
        <f t="shared" si="135"/>
        <v>肘掛椅子</v>
      </c>
      <c r="E803" s="3" t="str">
        <f t="shared" si="140"/>
        <v>肘付</v>
      </c>
      <c r="F803" s="2" t="str">
        <f t="shared" si="141"/>
        <v>０００１</v>
      </c>
      <c r="G803" s="2" t="str">
        <f>"3620003895"</f>
        <v>3620003895</v>
      </c>
      <c r="H803" s="2" t="str">
        <f t="shared" si="136"/>
        <v>001</v>
      </c>
      <c r="I803" s="2" t="str">
        <f t="shared" si="142"/>
        <v>4100401</v>
      </c>
      <c r="J803" s="2">
        <f>31400</f>
        <v>31400</v>
      </c>
      <c r="K803" s="2" t="str">
        <f t="shared" si="139"/>
        <v>脚</v>
      </c>
      <c r="L803" s="2" t="str">
        <f t="shared" si="143"/>
        <v>3630331</v>
      </c>
      <c r="M803" s="2" t="str">
        <f>""</f>
        <v/>
      </c>
    </row>
    <row r="804" spans="1:13" x14ac:dyDescent="0.15">
      <c r="A804" s="2" t="str">
        <f t="shared" si="137"/>
        <v>1881110500</v>
      </c>
      <c r="B804" s="2" t="str">
        <f t="shared" si="138"/>
        <v>佐伯・区政調整</v>
      </c>
      <c r="C804" s="2" t="str">
        <f t="shared" si="134"/>
        <v>01ｲ00311</v>
      </c>
      <c r="D804" s="2" t="str">
        <f t="shared" si="135"/>
        <v>肘掛椅子</v>
      </c>
      <c r="E804" s="3" t="str">
        <f t="shared" si="140"/>
        <v>肘付</v>
      </c>
      <c r="F804" s="2" t="str">
        <f t="shared" si="141"/>
        <v>０００１</v>
      </c>
      <c r="G804" s="2" t="str">
        <f>"3620003896"</f>
        <v>3620003896</v>
      </c>
      <c r="H804" s="2" t="str">
        <f t="shared" si="136"/>
        <v>001</v>
      </c>
      <c r="I804" s="2" t="str">
        <f t="shared" si="142"/>
        <v>4100401</v>
      </c>
      <c r="J804" s="2">
        <f>31400</f>
        <v>31400</v>
      </c>
      <c r="K804" s="2" t="str">
        <f t="shared" si="139"/>
        <v>脚</v>
      </c>
      <c r="L804" s="2" t="str">
        <f t="shared" si="143"/>
        <v>3630331</v>
      </c>
      <c r="M804" s="2" t="str">
        <f>""</f>
        <v/>
      </c>
    </row>
    <row r="805" spans="1:13" x14ac:dyDescent="0.15">
      <c r="A805" s="2" t="str">
        <f t="shared" si="137"/>
        <v>1881110500</v>
      </c>
      <c r="B805" s="2" t="str">
        <f t="shared" si="138"/>
        <v>佐伯・区政調整</v>
      </c>
      <c r="C805" s="2" t="str">
        <f t="shared" si="134"/>
        <v>01ｲ00311</v>
      </c>
      <c r="D805" s="2" t="str">
        <f t="shared" si="135"/>
        <v>肘掛椅子</v>
      </c>
      <c r="E805" s="3" t="str">
        <f t="shared" si="140"/>
        <v>肘付</v>
      </c>
      <c r="F805" s="2" t="str">
        <f t="shared" si="141"/>
        <v>０００１</v>
      </c>
      <c r="G805" s="2" t="str">
        <f>"3620003897"</f>
        <v>3620003897</v>
      </c>
      <c r="H805" s="2" t="str">
        <f t="shared" si="136"/>
        <v>001</v>
      </c>
      <c r="I805" s="2" t="str">
        <f t="shared" si="142"/>
        <v>4100401</v>
      </c>
      <c r="J805" s="2">
        <f>31400</f>
        <v>31400</v>
      </c>
      <c r="K805" s="2" t="str">
        <f t="shared" si="139"/>
        <v>脚</v>
      </c>
      <c r="L805" s="2" t="str">
        <f t="shared" si="143"/>
        <v>3630331</v>
      </c>
      <c r="M805" s="2" t="str">
        <f>""</f>
        <v/>
      </c>
    </row>
    <row r="806" spans="1:13" x14ac:dyDescent="0.15">
      <c r="A806" s="2" t="str">
        <f t="shared" si="137"/>
        <v>1881110500</v>
      </c>
      <c r="B806" s="2" t="str">
        <f t="shared" si="138"/>
        <v>佐伯・区政調整</v>
      </c>
      <c r="C806" s="2" t="str">
        <f t="shared" si="134"/>
        <v>01ｲ00311</v>
      </c>
      <c r="D806" s="2" t="str">
        <f t="shared" si="135"/>
        <v>肘掛椅子</v>
      </c>
      <c r="E806" s="3" t="str">
        <f t="shared" si="140"/>
        <v>肘付</v>
      </c>
      <c r="F806" s="2" t="str">
        <f t="shared" si="141"/>
        <v>０００１</v>
      </c>
      <c r="G806" s="2" t="str">
        <f>"3620003898"</f>
        <v>3620003898</v>
      </c>
      <c r="H806" s="2" t="str">
        <f t="shared" si="136"/>
        <v>001</v>
      </c>
      <c r="I806" s="2" t="str">
        <f t="shared" si="142"/>
        <v>4100401</v>
      </c>
      <c r="J806" s="2">
        <f>31400</f>
        <v>31400</v>
      </c>
      <c r="K806" s="2" t="str">
        <f t="shared" si="139"/>
        <v>脚</v>
      </c>
      <c r="L806" s="2" t="str">
        <f t="shared" si="143"/>
        <v>3630331</v>
      </c>
      <c r="M806" s="2" t="str">
        <f>""</f>
        <v/>
      </c>
    </row>
    <row r="807" spans="1:13" x14ac:dyDescent="0.15">
      <c r="A807" s="2" t="str">
        <f t="shared" si="137"/>
        <v>1881110500</v>
      </c>
      <c r="B807" s="2" t="str">
        <f t="shared" si="138"/>
        <v>佐伯・区政調整</v>
      </c>
      <c r="C807" s="2" t="str">
        <f t="shared" si="134"/>
        <v>01ｲ00311</v>
      </c>
      <c r="D807" s="2" t="str">
        <f t="shared" si="135"/>
        <v>肘掛椅子</v>
      </c>
      <c r="E807" s="3" t="str">
        <f t="shared" si="140"/>
        <v>肘付</v>
      </c>
      <c r="F807" s="2" t="str">
        <f t="shared" si="141"/>
        <v>０００１</v>
      </c>
      <c r="G807" s="2" t="str">
        <f>"3620003899"</f>
        <v>3620003899</v>
      </c>
      <c r="H807" s="2" t="str">
        <f t="shared" si="136"/>
        <v>001</v>
      </c>
      <c r="I807" s="2" t="str">
        <f t="shared" si="142"/>
        <v>4100401</v>
      </c>
      <c r="J807" s="2">
        <f>31400</f>
        <v>31400</v>
      </c>
      <c r="K807" s="2" t="str">
        <f t="shared" si="139"/>
        <v>脚</v>
      </c>
      <c r="L807" s="2" t="str">
        <f t="shared" si="143"/>
        <v>3630331</v>
      </c>
      <c r="M807" s="2" t="str">
        <f>""</f>
        <v/>
      </c>
    </row>
    <row r="808" spans="1:13" x14ac:dyDescent="0.15">
      <c r="A808" s="2" t="str">
        <f t="shared" si="137"/>
        <v>1881110500</v>
      </c>
      <c r="B808" s="2" t="str">
        <f t="shared" si="138"/>
        <v>佐伯・区政調整</v>
      </c>
      <c r="C808" s="2" t="str">
        <f t="shared" si="134"/>
        <v>01ｲ00311</v>
      </c>
      <c r="D808" s="2" t="str">
        <f t="shared" si="135"/>
        <v>肘掛椅子</v>
      </c>
      <c r="E808" s="3" t="str">
        <f t="shared" si="140"/>
        <v>肘付</v>
      </c>
      <c r="F808" s="2" t="str">
        <f t="shared" si="141"/>
        <v>０００１</v>
      </c>
      <c r="G808" s="2" t="str">
        <f>"3620003900"</f>
        <v>3620003900</v>
      </c>
      <c r="H808" s="2" t="str">
        <f t="shared" si="136"/>
        <v>001</v>
      </c>
      <c r="I808" s="2" t="str">
        <f t="shared" si="142"/>
        <v>4100401</v>
      </c>
      <c r="J808" s="2">
        <f>31400</f>
        <v>31400</v>
      </c>
      <c r="K808" s="2" t="str">
        <f t="shared" si="139"/>
        <v>脚</v>
      </c>
      <c r="L808" s="2" t="str">
        <f t="shared" si="143"/>
        <v>3630331</v>
      </c>
      <c r="M808" s="2" t="str">
        <f>""</f>
        <v/>
      </c>
    </row>
    <row r="809" spans="1:13" x14ac:dyDescent="0.15">
      <c r="A809" s="2" t="str">
        <f t="shared" si="137"/>
        <v>1881110500</v>
      </c>
      <c r="B809" s="2" t="str">
        <f t="shared" si="138"/>
        <v>佐伯・区政調整</v>
      </c>
      <c r="C809" s="2" t="str">
        <f t="shared" si="134"/>
        <v>01ｲ00311</v>
      </c>
      <c r="D809" s="2" t="str">
        <f t="shared" si="135"/>
        <v>肘掛椅子</v>
      </c>
      <c r="E809" s="3" t="str">
        <f t="shared" si="140"/>
        <v>肘付</v>
      </c>
      <c r="F809" s="2" t="str">
        <f t="shared" si="141"/>
        <v>０００１</v>
      </c>
      <c r="G809" s="2" t="str">
        <f>"3620003901"</f>
        <v>3620003901</v>
      </c>
      <c r="H809" s="2" t="str">
        <f t="shared" si="136"/>
        <v>001</v>
      </c>
      <c r="I809" s="2" t="str">
        <f t="shared" si="142"/>
        <v>4100401</v>
      </c>
      <c r="J809" s="2">
        <f>31400</f>
        <v>31400</v>
      </c>
      <c r="K809" s="2" t="str">
        <f t="shared" si="139"/>
        <v>脚</v>
      </c>
      <c r="L809" s="2" t="str">
        <f t="shared" si="143"/>
        <v>3630331</v>
      </c>
      <c r="M809" s="2" t="str">
        <f>""</f>
        <v/>
      </c>
    </row>
    <row r="810" spans="1:13" x14ac:dyDescent="0.15">
      <c r="A810" s="2" t="str">
        <f t="shared" si="137"/>
        <v>1881110500</v>
      </c>
      <c r="B810" s="2" t="str">
        <f t="shared" si="138"/>
        <v>佐伯・区政調整</v>
      </c>
      <c r="C810" s="2" t="str">
        <f t="shared" si="134"/>
        <v>01ｲ00311</v>
      </c>
      <c r="D810" s="2" t="str">
        <f t="shared" si="135"/>
        <v>肘掛椅子</v>
      </c>
      <c r="E810" s="3" t="str">
        <f t="shared" si="140"/>
        <v>肘付</v>
      </c>
      <c r="F810" s="2" t="str">
        <f t="shared" si="141"/>
        <v>０００１</v>
      </c>
      <c r="G810" s="2" t="str">
        <f>"3620003902"</f>
        <v>3620003902</v>
      </c>
      <c r="H810" s="2" t="str">
        <f t="shared" si="136"/>
        <v>001</v>
      </c>
      <c r="I810" s="2" t="str">
        <f t="shared" si="142"/>
        <v>4100401</v>
      </c>
      <c r="J810" s="2">
        <f>31400</f>
        <v>31400</v>
      </c>
      <c r="K810" s="2" t="str">
        <f t="shared" si="139"/>
        <v>脚</v>
      </c>
      <c r="L810" s="2" t="str">
        <f t="shared" si="143"/>
        <v>3630331</v>
      </c>
      <c r="M810" s="2" t="str">
        <f>""</f>
        <v/>
      </c>
    </row>
    <row r="811" spans="1:13" x14ac:dyDescent="0.15">
      <c r="A811" s="2" t="str">
        <f t="shared" si="137"/>
        <v>1881110500</v>
      </c>
      <c r="B811" s="2" t="str">
        <f t="shared" si="138"/>
        <v>佐伯・区政調整</v>
      </c>
      <c r="C811" s="2" t="str">
        <f t="shared" si="134"/>
        <v>01ｲ00311</v>
      </c>
      <c r="D811" s="2" t="str">
        <f t="shared" si="135"/>
        <v>肘掛椅子</v>
      </c>
      <c r="E811" s="3" t="str">
        <f t="shared" si="140"/>
        <v>肘付</v>
      </c>
      <c r="F811" s="2" t="str">
        <f t="shared" si="141"/>
        <v>０００１</v>
      </c>
      <c r="G811" s="2" t="str">
        <f>"3620003903"</f>
        <v>3620003903</v>
      </c>
      <c r="H811" s="2" t="str">
        <f t="shared" si="136"/>
        <v>001</v>
      </c>
      <c r="I811" s="2" t="str">
        <f t="shared" si="142"/>
        <v>4100401</v>
      </c>
      <c r="J811" s="2">
        <f>31400</f>
        <v>31400</v>
      </c>
      <c r="K811" s="2" t="str">
        <f t="shared" si="139"/>
        <v>脚</v>
      </c>
      <c r="L811" s="2" t="str">
        <f t="shared" si="143"/>
        <v>3630331</v>
      </c>
      <c r="M811" s="2" t="str">
        <f>""</f>
        <v/>
      </c>
    </row>
    <row r="812" spans="1:13" x14ac:dyDescent="0.15">
      <c r="A812" s="2" t="str">
        <f t="shared" si="137"/>
        <v>1881110500</v>
      </c>
      <c r="B812" s="2" t="str">
        <f t="shared" si="138"/>
        <v>佐伯・区政調整</v>
      </c>
      <c r="C812" s="2" t="str">
        <f t="shared" si="134"/>
        <v>01ｲ00311</v>
      </c>
      <c r="D812" s="2" t="str">
        <f t="shared" si="135"/>
        <v>肘掛椅子</v>
      </c>
      <c r="E812" s="3" t="str">
        <f t="shared" si="140"/>
        <v>肘付</v>
      </c>
      <c r="F812" s="2" t="str">
        <f t="shared" si="141"/>
        <v>０００１</v>
      </c>
      <c r="G812" s="2" t="str">
        <f>"3620003904"</f>
        <v>3620003904</v>
      </c>
      <c r="H812" s="2" t="str">
        <f t="shared" si="136"/>
        <v>001</v>
      </c>
      <c r="I812" s="2" t="str">
        <f t="shared" si="142"/>
        <v>4100401</v>
      </c>
      <c r="J812" s="2">
        <f>31400</f>
        <v>31400</v>
      </c>
      <c r="K812" s="2" t="str">
        <f t="shared" si="139"/>
        <v>脚</v>
      </c>
      <c r="L812" s="2" t="str">
        <f t="shared" si="143"/>
        <v>3630331</v>
      </c>
      <c r="M812" s="2" t="str">
        <f>""</f>
        <v/>
      </c>
    </row>
    <row r="813" spans="1:13" x14ac:dyDescent="0.15">
      <c r="A813" s="2" t="str">
        <f t="shared" si="137"/>
        <v>1881110500</v>
      </c>
      <c r="B813" s="2" t="str">
        <f t="shared" si="138"/>
        <v>佐伯・区政調整</v>
      </c>
      <c r="C813" s="2" t="str">
        <f t="shared" si="134"/>
        <v>01ｲ00311</v>
      </c>
      <c r="D813" s="2" t="str">
        <f t="shared" si="135"/>
        <v>肘掛椅子</v>
      </c>
      <c r="E813" s="3" t="str">
        <f t="shared" si="140"/>
        <v>肘付</v>
      </c>
      <c r="F813" s="2" t="str">
        <f t="shared" si="141"/>
        <v>０００１</v>
      </c>
      <c r="G813" s="2" t="str">
        <f>"3620003905"</f>
        <v>3620003905</v>
      </c>
      <c r="H813" s="2" t="str">
        <f t="shared" si="136"/>
        <v>001</v>
      </c>
      <c r="I813" s="2" t="str">
        <f t="shared" si="142"/>
        <v>4100401</v>
      </c>
      <c r="J813" s="2">
        <f>31400</f>
        <v>31400</v>
      </c>
      <c r="K813" s="2" t="str">
        <f t="shared" si="139"/>
        <v>脚</v>
      </c>
      <c r="L813" s="2" t="str">
        <f t="shared" si="143"/>
        <v>3630331</v>
      </c>
      <c r="M813" s="2" t="str">
        <f>""</f>
        <v/>
      </c>
    </row>
    <row r="814" spans="1:13" x14ac:dyDescent="0.15">
      <c r="A814" s="2" t="str">
        <f t="shared" si="137"/>
        <v>1881110500</v>
      </c>
      <c r="B814" s="2" t="str">
        <f t="shared" si="138"/>
        <v>佐伯・区政調整</v>
      </c>
      <c r="C814" s="2" t="str">
        <f t="shared" si="134"/>
        <v>01ｲ00311</v>
      </c>
      <c r="D814" s="2" t="str">
        <f t="shared" si="135"/>
        <v>肘掛椅子</v>
      </c>
      <c r="E814" s="3" t="str">
        <f t="shared" si="140"/>
        <v>肘付</v>
      </c>
      <c r="F814" s="2" t="str">
        <f t="shared" si="141"/>
        <v>０００１</v>
      </c>
      <c r="G814" s="2" t="str">
        <f>"3620003906"</f>
        <v>3620003906</v>
      </c>
      <c r="H814" s="2" t="str">
        <f t="shared" si="136"/>
        <v>001</v>
      </c>
      <c r="I814" s="2" t="str">
        <f t="shared" si="142"/>
        <v>4100401</v>
      </c>
      <c r="J814" s="2">
        <f>31400</f>
        <v>31400</v>
      </c>
      <c r="K814" s="2" t="str">
        <f t="shared" si="139"/>
        <v>脚</v>
      </c>
      <c r="L814" s="2" t="str">
        <f t="shared" si="143"/>
        <v>3630331</v>
      </c>
      <c r="M814" s="2" t="str">
        <f>""</f>
        <v/>
      </c>
    </row>
    <row r="815" spans="1:13" x14ac:dyDescent="0.15">
      <c r="A815" s="2" t="str">
        <f t="shared" si="137"/>
        <v>1881110500</v>
      </c>
      <c r="B815" s="2" t="str">
        <f t="shared" si="138"/>
        <v>佐伯・区政調整</v>
      </c>
      <c r="C815" s="2" t="str">
        <f t="shared" si="134"/>
        <v>01ｲ00311</v>
      </c>
      <c r="D815" s="2" t="str">
        <f t="shared" si="135"/>
        <v>肘掛椅子</v>
      </c>
      <c r="E815" s="3" t="str">
        <f t="shared" si="140"/>
        <v>肘付</v>
      </c>
      <c r="F815" s="2" t="str">
        <f t="shared" si="141"/>
        <v>０００１</v>
      </c>
      <c r="G815" s="2" t="str">
        <f>"3620003907"</f>
        <v>3620003907</v>
      </c>
      <c r="H815" s="2" t="str">
        <f t="shared" si="136"/>
        <v>001</v>
      </c>
      <c r="I815" s="2" t="str">
        <f t="shared" si="142"/>
        <v>4100401</v>
      </c>
      <c r="J815" s="2">
        <f>31400</f>
        <v>31400</v>
      </c>
      <c r="K815" s="2" t="str">
        <f t="shared" si="139"/>
        <v>脚</v>
      </c>
      <c r="L815" s="2" t="str">
        <f t="shared" si="143"/>
        <v>3630331</v>
      </c>
      <c r="M815" s="2" t="str">
        <f>""</f>
        <v/>
      </c>
    </row>
    <row r="816" spans="1:13" x14ac:dyDescent="0.15">
      <c r="A816" s="2" t="str">
        <f t="shared" si="137"/>
        <v>1881110500</v>
      </c>
      <c r="B816" s="2" t="str">
        <f t="shared" si="138"/>
        <v>佐伯・区政調整</v>
      </c>
      <c r="C816" s="2" t="str">
        <f t="shared" si="134"/>
        <v>01ｲ00311</v>
      </c>
      <c r="D816" s="2" t="str">
        <f t="shared" si="135"/>
        <v>肘掛椅子</v>
      </c>
      <c r="E816" s="3" t="str">
        <f t="shared" si="140"/>
        <v>肘付</v>
      </c>
      <c r="F816" s="2" t="str">
        <f t="shared" si="141"/>
        <v>０００１</v>
      </c>
      <c r="G816" s="2" t="str">
        <f>"3620003908"</f>
        <v>3620003908</v>
      </c>
      <c r="H816" s="2" t="str">
        <f t="shared" si="136"/>
        <v>001</v>
      </c>
      <c r="I816" s="2" t="str">
        <f t="shared" si="142"/>
        <v>4100401</v>
      </c>
      <c r="J816" s="2">
        <f>31400</f>
        <v>31400</v>
      </c>
      <c r="K816" s="2" t="str">
        <f t="shared" si="139"/>
        <v>脚</v>
      </c>
      <c r="L816" s="2" t="str">
        <f t="shared" si="143"/>
        <v>3630331</v>
      </c>
      <c r="M816" s="2" t="str">
        <f>""</f>
        <v/>
      </c>
    </row>
    <row r="817" spans="1:13" x14ac:dyDescent="0.15">
      <c r="A817" s="2" t="str">
        <f t="shared" si="137"/>
        <v>1881110500</v>
      </c>
      <c r="B817" s="2" t="str">
        <f t="shared" si="138"/>
        <v>佐伯・区政調整</v>
      </c>
      <c r="C817" s="2" t="str">
        <f t="shared" si="134"/>
        <v>01ｲ00311</v>
      </c>
      <c r="D817" s="2" t="str">
        <f t="shared" si="135"/>
        <v>肘掛椅子</v>
      </c>
      <c r="E817" s="3" t="str">
        <f t="shared" si="140"/>
        <v>肘付</v>
      </c>
      <c r="F817" s="2" t="str">
        <f t="shared" si="141"/>
        <v>０００１</v>
      </c>
      <c r="G817" s="2" t="str">
        <f>"3620003909"</f>
        <v>3620003909</v>
      </c>
      <c r="H817" s="2" t="str">
        <f t="shared" si="136"/>
        <v>001</v>
      </c>
      <c r="I817" s="2" t="str">
        <f t="shared" si="142"/>
        <v>4100401</v>
      </c>
      <c r="J817" s="2">
        <f>31400</f>
        <v>31400</v>
      </c>
      <c r="K817" s="2" t="str">
        <f t="shared" si="139"/>
        <v>脚</v>
      </c>
      <c r="L817" s="2" t="str">
        <f t="shared" si="143"/>
        <v>3630331</v>
      </c>
      <c r="M817" s="2" t="str">
        <f>""</f>
        <v/>
      </c>
    </row>
    <row r="818" spans="1:13" x14ac:dyDescent="0.15">
      <c r="A818" s="2" t="str">
        <f t="shared" si="137"/>
        <v>1881110500</v>
      </c>
      <c r="B818" s="2" t="str">
        <f t="shared" si="138"/>
        <v>佐伯・区政調整</v>
      </c>
      <c r="C818" s="2" t="str">
        <f t="shared" si="134"/>
        <v>01ｲ00311</v>
      </c>
      <c r="D818" s="2" t="str">
        <f t="shared" si="135"/>
        <v>肘掛椅子</v>
      </c>
      <c r="E818" s="3" t="str">
        <f t="shared" si="140"/>
        <v>肘付</v>
      </c>
      <c r="F818" s="2" t="str">
        <f t="shared" si="141"/>
        <v>０００１</v>
      </c>
      <c r="G818" s="2" t="str">
        <f>"3620003910"</f>
        <v>3620003910</v>
      </c>
      <c r="H818" s="2" t="str">
        <f t="shared" si="136"/>
        <v>001</v>
      </c>
      <c r="I818" s="2" t="str">
        <f t="shared" si="142"/>
        <v>4100401</v>
      </c>
      <c r="J818" s="2">
        <f>31400</f>
        <v>31400</v>
      </c>
      <c r="K818" s="2" t="str">
        <f t="shared" si="139"/>
        <v>脚</v>
      </c>
      <c r="L818" s="2" t="str">
        <f t="shared" si="143"/>
        <v>3630331</v>
      </c>
      <c r="M818" s="2" t="str">
        <f>""</f>
        <v/>
      </c>
    </row>
    <row r="819" spans="1:13" x14ac:dyDescent="0.15">
      <c r="A819" s="2" t="str">
        <f t="shared" si="137"/>
        <v>1881110500</v>
      </c>
      <c r="B819" s="2" t="str">
        <f t="shared" si="138"/>
        <v>佐伯・区政調整</v>
      </c>
      <c r="C819" s="2" t="str">
        <f t="shared" si="134"/>
        <v>01ｲ00311</v>
      </c>
      <c r="D819" s="2" t="str">
        <f t="shared" si="135"/>
        <v>肘掛椅子</v>
      </c>
      <c r="E819" s="3" t="str">
        <f t="shared" si="140"/>
        <v>肘付</v>
      </c>
      <c r="F819" s="2" t="str">
        <f t="shared" si="141"/>
        <v>０００１</v>
      </c>
      <c r="G819" s="2" t="str">
        <f>"3620003911"</f>
        <v>3620003911</v>
      </c>
      <c r="H819" s="2" t="str">
        <f t="shared" si="136"/>
        <v>001</v>
      </c>
      <c r="I819" s="2" t="str">
        <f t="shared" si="142"/>
        <v>4100401</v>
      </c>
      <c r="J819" s="2">
        <f>31400</f>
        <v>31400</v>
      </c>
      <c r="K819" s="2" t="str">
        <f t="shared" si="139"/>
        <v>脚</v>
      </c>
      <c r="L819" s="2" t="str">
        <f t="shared" si="143"/>
        <v>3630331</v>
      </c>
      <c r="M819" s="2" t="str">
        <f>""</f>
        <v/>
      </c>
    </row>
    <row r="820" spans="1:13" x14ac:dyDescent="0.15">
      <c r="A820" s="2" t="str">
        <f t="shared" si="137"/>
        <v>1881110500</v>
      </c>
      <c r="B820" s="2" t="str">
        <f t="shared" si="138"/>
        <v>佐伯・区政調整</v>
      </c>
      <c r="C820" s="2" t="str">
        <f t="shared" si="134"/>
        <v>01ｲ00311</v>
      </c>
      <c r="D820" s="2" t="str">
        <f t="shared" si="135"/>
        <v>肘掛椅子</v>
      </c>
      <c r="E820" s="3" t="str">
        <f t="shared" si="140"/>
        <v>肘付</v>
      </c>
      <c r="F820" s="2" t="str">
        <f t="shared" si="141"/>
        <v>０００１</v>
      </c>
      <c r="G820" s="2" t="str">
        <f>"3620003912"</f>
        <v>3620003912</v>
      </c>
      <c r="H820" s="2" t="str">
        <f t="shared" si="136"/>
        <v>001</v>
      </c>
      <c r="I820" s="2" t="str">
        <f t="shared" si="142"/>
        <v>4100401</v>
      </c>
      <c r="J820" s="2">
        <f>31400</f>
        <v>31400</v>
      </c>
      <c r="K820" s="2" t="str">
        <f t="shared" si="139"/>
        <v>脚</v>
      </c>
      <c r="L820" s="2" t="str">
        <f t="shared" si="143"/>
        <v>3630331</v>
      </c>
      <c r="M820" s="2" t="str">
        <f>""</f>
        <v/>
      </c>
    </row>
    <row r="821" spans="1:13" x14ac:dyDescent="0.15">
      <c r="A821" s="2" t="str">
        <f t="shared" si="137"/>
        <v>1881110500</v>
      </c>
      <c r="B821" s="2" t="str">
        <f t="shared" si="138"/>
        <v>佐伯・区政調整</v>
      </c>
      <c r="C821" s="2" t="str">
        <f t="shared" si="134"/>
        <v>01ｲ00311</v>
      </c>
      <c r="D821" s="2" t="str">
        <f t="shared" si="135"/>
        <v>肘掛椅子</v>
      </c>
      <c r="E821" s="3" t="str">
        <f t="shared" si="140"/>
        <v>肘付</v>
      </c>
      <c r="F821" s="2" t="str">
        <f t="shared" si="141"/>
        <v>０００１</v>
      </c>
      <c r="G821" s="2" t="str">
        <f>"3620003913"</f>
        <v>3620003913</v>
      </c>
      <c r="H821" s="2" t="str">
        <f t="shared" si="136"/>
        <v>001</v>
      </c>
      <c r="I821" s="2" t="str">
        <f t="shared" si="142"/>
        <v>4100401</v>
      </c>
      <c r="J821" s="2">
        <f>31400</f>
        <v>31400</v>
      </c>
      <c r="K821" s="2" t="str">
        <f t="shared" si="139"/>
        <v>脚</v>
      </c>
      <c r="L821" s="2" t="str">
        <f t="shared" si="143"/>
        <v>3630331</v>
      </c>
      <c r="M821" s="2" t="str">
        <f>""</f>
        <v/>
      </c>
    </row>
    <row r="822" spans="1:13" x14ac:dyDescent="0.15">
      <c r="A822" s="2" t="str">
        <f t="shared" si="137"/>
        <v>1881110500</v>
      </c>
      <c r="B822" s="2" t="str">
        <f t="shared" si="138"/>
        <v>佐伯・区政調整</v>
      </c>
      <c r="C822" s="2" t="str">
        <f t="shared" si="134"/>
        <v>01ｲ00311</v>
      </c>
      <c r="D822" s="2" t="str">
        <f t="shared" si="135"/>
        <v>肘掛椅子</v>
      </c>
      <c r="E822" s="3" t="str">
        <f t="shared" si="140"/>
        <v>肘付</v>
      </c>
      <c r="F822" s="2" t="str">
        <f t="shared" si="141"/>
        <v>０００１</v>
      </c>
      <c r="G822" s="2" t="str">
        <f>"3620003914"</f>
        <v>3620003914</v>
      </c>
      <c r="H822" s="2" t="str">
        <f t="shared" si="136"/>
        <v>001</v>
      </c>
      <c r="I822" s="2" t="str">
        <f t="shared" si="142"/>
        <v>4100401</v>
      </c>
      <c r="J822" s="2">
        <f>31400</f>
        <v>31400</v>
      </c>
      <c r="K822" s="2" t="str">
        <f t="shared" si="139"/>
        <v>脚</v>
      </c>
      <c r="L822" s="2" t="str">
        <f t="shared" si="143"/>
        <v>3630331</v>
      </c>
      <c r="M822" s="2" t="str">
        <f>""</f>
        <v/>
      </c>
    </row>
    <row r="823" spans="1:13" x14ac:dyDescent="0.15">
      <c r="A823" s="2" t="str">
        <f t="shared" si="137"/>
        <v>1881110500</v>
      </c>
      <c r="B823" s="2" t="str">
        <f t="shared" si="138"/>
        <v>佐伯・区政調整</v>
      </c>
      <c r="C823" s="2" t="str">
        <f t="shared" si="134"/>
        <v>01ｲ00311</v>
      </c>
      <c r="D823" s="2" t="str">
        <f t="shared" si="135"/>
        <v>肘掛椅子</v>
      </c>
      <c r="E823" s="3" t="str">
        <f t="shared" si="140"/>
        <v>肘付</v>
      </c>
      <c r="F823" s="2" t="str">
        <f t="shared" si="141"/>
        <v>０００１</v>
      </c>
      <c r="G823" s="2" t="str">
        <f>"3620003915"</f>
        <v>3620003915</v>
      </c>
      <c r="H823" s="2" t="str">
        <f t="shared" si="136"/>
        <v>001</v>
      </c>
      <c r="I823" s="2" t="str">
        <f t="shared" si="142"/>
        <v>4100401</v>
      </c>
      <c r="J823" s="2">
        <f>31400</f>
        <v>31400</v>
      </c>
      <c r="K823" s="2" t="str">
        <f t="shared" si="139"/>
        <v>脚</v>
      </c>
      <c r="L823" s="2" t="str">
        <f t="shared" si="143"/>
        <v>3630331</v>
      </c>
      <c r="M823" s="2" t="str">
        <f>""</f>
        <v/>
      </c>
    </row>
    <row r="824" spans="1:13" x14ac:dyDescent="0.15">
      <c r="A824" s="2" t="str">
        <f t="shared" si="137"/>
        <v>1881110500</v>
      </c>
      <c r="B824" s="2" t="str">
        <f t="shared" si="138"/>
        <v>佐伯・区政調整</v>
      </c>
      <c r="C824" s="2" t="str">
        <f t="shared" si="134"/>
        <v>01ｲ00311</v>
      </c>
      <c r="D824" s="2" t="str">
        <f t="shared" si="135"/>
        <v>肘掛椅子</v>
      </c>
      <c r="E824" s="3" t="str">
        <f t="shared" si="140"/>
        <v>肘付</v>
      </c>
      <c r="F824" s="2" t="str">
        <f t="shared" si="141"/>
        <v>０００１</v>
      </c>
      <c r="G824" s="2" t="str">
        <f>"3620003916"</f>
        <v>3620003916</v>
      </c>
      <c r="H824" s="2" t="str">
        <f t="shared" si="136"/>
        <v>001</v>
      </c>
      <c r="I824" s="2" t="str">
        <f t="shared" si="142"/>
        <v>4100401</v>
      </c>
      <c r="J824" s="2">
        <f>31400</f>
        <v>31400</v>
      </c>
      <c r="K824" s="2" t="str">
        <f t="shared" si="139"/>
        <v>脚</v>
      </c>
      <c r="L824" s="2" t="str">
        <f t="shared" si="143"/>
        <v>3630331</v>
      </c>
      <c r="M824" s="2" t="str">
        <f>""</f>
        <v/>
      </c>
    </row>
    <row r="825" spans="1:13" x14ac:dyDescent="0.15">
      <c r="A825" s="2" t="str">
        <f t="shared" si="137"/>
        <v>1881110500</v>
      </c>
      <c r="B825" s="2" t="str">
        <f t="shared" si="138"/>
        <v>佐伯・区政調整</v>
      </c>
      <c r="C825" s="2" t="str">
        <f t="shared" si="134"/>
        <v>01ｲ00311</v>
      </c>
      <c r="D825" s="2" t="str">
        <f t="shared" si="135"/>
        <v>肘掛椅子</v>
      </c>
      <c r="E825" s="3" t="str">
        <f t="shared" si="140"/>
        <v>肘付</v>
      </c>
      <c r="F825" s="2" t="str">
        <f t="shared" si="141"/>
        <v>０００１</v>
      </c>
      <c r="G825" s="2" t="str">
        <f>"3620003917"</f>
        <v>3620003917</v>
      </c>
      <c r="H825" s="2" t="str">
        <f t="shared" si="136"/>
        <v>001</v>
      </c>
      <c r="I825" s="2" t="str">
        <f t="shared" si="142"/>
        <v>4100401</v>
      </c>
      <c r="J825" s="2">
        <f>31400</f>
        <v>31400</v>
      </c>
      <c r="K825" s="2" t="str">
        <f t="shared" si="139"/>
        <v>脚</v>
      </c>
      <c r="L825" s="2" t="str">
        <f t="shared" si="143"/>
        <v>3630331</v>
      </c>
      <c r="M825" s="2" t="str">
        <f>""</f>
        <v/>
      </c>
    </row>
    <row r="826" spans="1:13" x14ac:dyDescent="0.15">
      <c r="A826" s="2" t="str">
        <f t="shared" si="137"/>
        <v>1881110500</v>
      </c>
      <c r="B826" s="2" t="str">
        <f t="shared" si="138"/>
        <v>佐伯・区政調整</v>
      </c>
      <c r="C826" s="2" t="str">
        <f t="shared" si="134"/>
        <v>01ｲ00311</v>
      </c>
      <c r="D826" s="2" t="str">
        <f t="shared" si="135"/>
        <v>肘掛椅子</v>
      </c>
      <c r="E826" s="3" t="str">
        <f t="shared" si="140"/>
        <v>肘付</v>
      </c>
      <c r="F826" s="2" t="str">
        <f t="shared" si="141"/>
        <v>０００１</v>
      </c>
      <c r="G826" s="2" t="str">
        <f>"3620003918"</f>
        <v>3620003918</v>
      </c>
      <c r="H826" s="2" t="str">
        <f t="shared" si="136"/>
        <v>001</v>
      </c>
      <c r="I826" s="2" t="str">
        <f t="shared" si="142"/>
        <v>4100401</v>
      </c>
      <c r="J826" s="2">
        <f>31400</f>
        <v>31400</v>
      </c>
      <c r="K826" s="2" t="str">
        <f t="shared" si="139"/>
        <v>脚</v>
      </c>
      <c r="L826" s="2" t="str">
        <f t="shared" si="143"/>
        <v>3630331</v>
      </c>
      <c r="M826" s="2" t="str">
        <f>""</f>
        <v/>
      </c>
    </row>
    <row r="827" spans="1:13" x14ac:dyDescent="0.15">
      <c r="A827" s="2" t="str">
        <f t="shared" si="137"/>
        <v>1881110500</v>
      </c>
      <c r="B827" s="2" t="str">
        <f t="shared" si="138"/>
        <v>佐伯・区政調整</v>
      </c>
      <c r="C827" s="2" t="str">
        <f t="shared" si="134"/>
        <v>01ｲ00311</v>
      </c>
      <c r="D827" s="2" t="str">
        <f t="shared" si="135"/>
        <v>肘掛椅子</v>
      </c>
      <c r="E827" s="3" t="str">
        <f t="shared" si="140"/>
        <v>肘付</v>
      </c>
      <c r="F827" s="2" t="str">
        <f t="shared" si="141"/>
        <v>０００１</v>
      </c>
      <c r="G827" s="2" t="str">
        <f>"3620003919"</f>
        <v>3620003919</v>
      </c>
      <c r="H827" s="2" t="str">
        <f t="shared" si="136"/>
        <v>001</v>
      </c>
      <c r="I827" s="2" t="str">
        <f t="shared" si="142"/>
        <v>4100401</v>
      </c>
      <c r="J827" s="2">
        <f>31400</f>
        <v>31400</v>
      </c>
      <c r="K827" s="2" t="str">
        <f t="shared" si="139"/>
        <v>脚</v>
      </c>
      <c r="L827" s="2" t="str">
        <f t="shared" si="143"/>
        <v>3630331</v>
      </c>
      <c r="M827" s="2" t="str">
        <f>""</f>
        <v/>
      </c>
    </row>
    <row r="828" spans="1:13" x14ac:dyDescent="0.15">
      <c r="A828" s="2" t="str">
        <f t="shared" si="137"/>
        <v>1881110500</v>
      </c>
      <c r="B828" s="2" t="str">
        <f t="shared" si="138"/>
        <v>佐伯・区政調整</v>
      </c>
      <c r="C828" s="2" t="str">
        <f t="shared" si="134"/>
        <v>01ｲ00311</v>
      </c>
      <c r="D828" s="2" t="str">
        <f t="shared" si="135"/>
        <v>肘掛椅子</v>
      </c>
      <c r="E828" s="3" t="str">
        <f t="shared" si="140"/>
        <v>肘付</v>
      </c>
      <c r="F828" s="2" t="str">
        <f t="shared" si="141"/>
        <v>０００１</v>
      </c>
      <c r="G828" s="2" t="str">
        <f>"3620003920"</f>
        <v>3620003920</v>
      </c>
      <c r="H828" s="2" t="str">
        <f t="shared" si="136"/>
        <v>001</v>
      </c>
      <c r="I828" s="2" t="str">
        <f t="shared" si="142"/>
        <v>4100401</v>
      </c>
      <c r="J828" s="2">
        <f>31400</f>
        <v>31400</v>
      </c>
      <c r="K828" s="2" t="str">
        <f t="shared" si="139"/>
        <v>脚</v>
      </c>
      <c r="L828" s="2" t="str">
        <f t="shared" si="143"/>
        <v>3630331</v>
      </c>
      <c r="M828" s="2" t="str">
        <f>""</f>
        <v/>
      </c>
    </row>
    <row r="829" spans="1:13" x14ac:dyDescent="0.15">
      <c r="A829" s="2" t="str">
        <f t="shared" si="137"/>
        <v>1881110500</v>
      </c>
      <c r="B829" s="2" t="str">
        <f t="shared" si="138"/>
        <v>佐伯・区政調整</v>
      </c>
      <c r="C829" s="2" t="str">
        <f t="shared" si="134"/>
        <v>01ｲ00311</v>
      </c>
      <c r="D829" s="2" t="str">
        <f t="shared" si="135"/>
        <v>肘掛椅子</v>
      </c>
      <c r="E829" s="3" t="str">
        <f t="shared" si="140"/>
        <v>肘付</v>
      </c>
      <c r="F829" s="2" t="str">
        <f t="shared" si="141"/>
        <v>０００１</v>
      </c>
      <c r="G829" s="2" t="str">
        <f>"3620003921"</f>
        <v>3620003921</v>
      </c>
      <c r="H829" s="2" t="str">
        <f t="shared" si="136"/>
        <v>001</v>
      </c>
      <c r="I829" s="2" t="str">
        <f t="shared" si="142"/>
        <v>4100401</v>
      </c>
      <c r="J829" s="2">
        <f>31400</f>
        <v>31400</v>
      </c>
      <c r="K829" s="2" t="str">
        <f t="shared" si="139"/>
        <v>脚</v>
      </c>
      <c r="L829" s="2" t="str">
        <f t="shared" si="143"/>
        <v>3630331</v>
      </c>
      <c r="M829" s="2" t="str">
        <f>""</f>
        <v/>
      </c>
    </row>
    <row r="830" spans="1:13" x14ac:dyDescent="0.15">
      <c r="A830" s="2" t="str">
        <f t="shared" si="137"/>
        <v>1881110500</v>
      </c>
      <c r="B830" s="2" t="str">
        <f t="shared" si="138"/>
        <v>佐伯・区政調整</v>
      </c>
      <c r="C830" s="2" t="str">
        <f t="shared" si="134"/>
        <v>01ｲ00311</v>
      </c>
      <c r="D830" s="2" t="str">
        <f t="shared" si="135"/>
        <v>肘掛椅子</v>
      </c>
      <c r="E830" s="3" t="str">
        <f t="shared" si="140"/>
        <v>肘付</v>
      </c>
      <c r="F830" s="2" t="str">
        <f t="shared" si="141"/>
        <v>０００１</v>
      </c>
      <c r="G830" s="2" t="str">
        <f>"3620003922"</f>
        <v>3620003922</v>
      </c>
      <c r="H830" s="2" t="str">
        <f t="shared" si="136"/>
        <v>001</v>
      </c>
      <c r="I830" s="2" t="str">
        <f t="shared" si="142"/>
        <v>4100401</v>
      </c>
      <c r="J830" s="2">
        <f>31400</f>
        <v>31400</v>
      </c>
      <c r="K830" s="2" t="str">
        <f t="shared" si="139"/>
        <v>脚</v>
      </c>
      <c r="L830" s="2" t="str">
        <f t="shared" si="143"/>
        <v>3630331</v>
      </c>
      <c r="M830" s="2" t="str">
        <f>""</f>
        <v/>
      </c>
    </row>
    <row r="831" spans="1:13" x14ac:dyDescent="0.15">
      <c r="A831" s="2" t="str">
        <f t="shared" si="137"/>
        <v>1881110500</v>
      </c>
      <c r="B831" s="2" t="str">
        <f t="shared" si="138"/>
        <v>佐伯・区政調整</v>
      </c>
      <c r="C831" s="2" t="str">
        <f t="shared" si="134"/>
        <v>01ｲ00311</v>
      </c>
      <c r="D831" s="2" t="str">
        <f t="shared" si="135"/>
        <v>肘掛椅子</v>
      </c>
      <c r="E831" s="3" t="str">
        <f t="shared" si="140"/>
        <v>肘付</v>
      </c>
      <c r="F831" s="2" t="str">
        <f t="shared" si="141"/>
        <v>０００１</v>
      </c>
      <c r="G831" s="2" t="str">
        <f>"3620003923"</f>
        <v>3620003923</v>
      </c>
      <c r="H831" s="2" t="str">
        <f t="shared" si="136"/>
        <v>001</v>
      </c>
      <c r="I831" s="2" t="str">
        <f t="shared" si="142"/>
        <v>4100401</v>
      </c>
      <c r="J831" s="2">
        <f>31400</f>
        <v>31400</v>
      </c>
      <c r="K831" s="2" t="str">
        <f t="shared" si="139"/>
        <v>脚</v>
      </c>
      <c r="L831" s="2" t="str">
        <f t="shared" si="143"/>
        <v>3630331</v>
      </c>
      <c r="M831" s="2" t="str">
        <f>""</f>
        <v/>
      </c>
    </row>
    <row r="832" spans="1:13" x14ac:dyDescent="0.15">
      <c r="A832" s="2" t="str">
        <f t="shared" si="137"/>
        <v>1881110500</v>
      </c>
      <c r="B832" s="2" t="str">
        <f t="shared" si="138"/>
        <v>佐伯・区政調整</v>
      </c>
      <c r="C832" s="2" t="str">
        <f t="shared" si="134"/>
        <v>01ｲ00311</v>
      </c>
      <c r="D832" s="2" t="str">
        <f t="shared" si="135"/>
        <v>肘掛椅子</v>
      </c>
      <c r="E832" s="3" t="str">
        <f t="shared" si="140"/>
        <v>肘付</v>
      </c>
      <c r="F832" s="2" t="str">
        <f t="shared" si="141"/>
        <v>０００１</v>
      </c>
      <c r="G832" s="2" t="str">
        <f>"3620003924"</f>
        <v>3620003924</v>
      </c>
      <c r="H832" s="2" t="str">
        <f t="shared" si="136"/>
        <v>001</v>
      </c>
      <c r="I832" s="2" t="str">
        <f t="shared" si="142"/>
        <v>4100401</v>
      </c>
      <c r="J832" s="2">
        <f>31400</f>
        <v>31400</v>
      </c>
      <c r="K832" s="2" t="str">
        <f t="shared" si="139"/>
        <v>脚</v>
      </c>
      <c r="L832" s="2" t="str">
        <f t="shared" si="143"/>
        <v>3630331</v>
      </c>
      <c r="M832" s="2" t="str">
        <f>""</f>
        <v/>
      </c>
    </row>
    <row r="833" spans="1:13" x14ac:dyDescent="0.15">
      <c r="A833" s="2" t="str">
        <f t="shared" si="137"/>
        <v>1881110500</v>
      </c>
      <c r="B833" s="2" t="str">
        <f t="shared" si="138"/>
        <v>佐伯・区政調整</v>
      </c>
      <c r="C833" s="2" t="str">
        <f t="shared" si="134"/>
        <v>01ｲ00311</v>
      </c>
      <c r="D833" s="2" t="str">
        <f t="shared" si="135"/>
        <v>肘掛椅子</v>
      </c>
      <c r="E833" s="3" t="str">
        <f t="shared" si="140"/>
        <v>肘付</v>
      </c>
      <c r="F833" s="2" t="str">
        <f t="shared" si="141"/>
        <v>０００１</v>
      </c>
      <c r="G833" s="2" t="str">
        <f>"3620003925"</f>
        <v>3620003925</v>
      </c>
      <c r="H833" s="2" t="str">
        <f t="shared" si="136"/>
        <v>001</v>
      </c>
      <c r="I833" s="2" t="str">
        <f t="shared" si="142"/>
        <v>4100401</v>
      </c>
      <c r="J833" s="2">
        <f>31400</f>
        <v>31400</v>
      </c>
      <c r="K833" s="2" t="str">
        <f t="shared" si="139"/>
        <v>脚</v>
      </c>
      <c r="L833" s="2" t="str">
        <f t="shared" si="143"/>
        <v>3630331</v>
      </c>
      <c r="M833" s="2" t="str">
        <f>""</f>
        <v/>
      </c>
    </row>
    <row r="834" spans="1:13" x14ac:dyDescent="0.15">
      <c r="A834" s="2" t="str">
        <f t="shared" si="137"/>
        <v>1881110500</v>
      </c>
      <c r="B834" s="2" t="str">
        <f t="shared" si="138"/>
        <v>佐伯・区政調整</v>
      </c>
      <c r="C834" s="2" t="str">
        <f t="shared" si="134"/>
        <v>01ｲ00311</v>
      </c>
      <c r="D834" s="2" t="str">
        <f t="shared" si="135"/>
        <v>肘掛椅子</v>
      </c>
      <c r="E834" s="3" t="str">
        <f t="shared" si="140"/>
        <v>肘付</v>
      </c>
      <c r="F834" s="2" t="str">
        <f t="shared" si="141"/>
        <v>０００１</v>
      </c>
      <c r="G834" s="2" t="str">
        <f>"3620003926"</f>
        <v>3620003926</v>
      </c>
      <c r="H834" s="2" t="str">
        <f t="shared" si="136"/>
        <v>001</v>
      </c>
      <c r="I834" s="2" t="str">
        <f t="shared" si="142"/>
        <v>4100401</v>
      </c>
      <c r="J834" s="2">
        <f>31400</f>
        <v>31400</v>
      </c>
      <c r="K834" s="2" t="str">
        <f t="shared" si="139"/>
        <v>脚</v>
      </c>
      <c r="L834" s="2" t="str">
        <f t="shared" si="143"/>
        <v>3630331</v>
      </c>
      <c r="M834" s="2" t="str">
        <f>""</f>
        <v/>
      </c>
    </row>
    <row r="835" spans="1:13" x14ac:dyDescent="0.15">
      <c r="A835" s="2" t="str">
        <f t="shared" si="137"/>
        <v>1881110500</v>
      </c>
      <c r="B835" s="2" t="str">
        <f t="shared" si="138"/>
        <v>佐伯・区政調整</v>
      </c>
      <c r="C835" s="2" t="str">
        <f t="shared" si="134"/>
        <v>01ｲ00311</v>
      </c>
      <c r="D835" s="2" t="str">
        <f t="shared" si="135"/>
        <v>肘掛椅子</v>
      </c>
      <c r="E835" s="3" t="str">
        <f t="shared" si="140"/>
        <v>肘付</v>
      </c>
      <c r="F835" s="2" t="str">
        <f t="shared" si="141"/>
        <v>０００１</v>
      </c>
      <c r="G835" s="2" t="str">
        <f>"3620003927"</f>
        <v>3620003927</v>
      </c>
      <c r="H835" s="2" t="str">
        <f t="shared" si="136"/>
        <v>001</v>
      </c>
      <c r="I835" s="2" t="str">
        <f t="shared" si="142"/>
        <v>4100401</v>
      </c>
      <c r="J835" s="2">
        <f>31400</f>
        <v>31400</v>
      </c>
      <c r="K835" s="2" t="str">
        <f t="shared" si="139"/>
        <v>脚</v>
      </c>
      <c r="L835" s="2" t="str">
        <f t="shared" si="143"/>
        <v>3630331</v>
      </c>
      <c r="M835" s="2" t="str">
        <f>""</f>
        <v/>
      </c>
    </row>
    <row r="836" spans="1:13" x14ac:dyDescent="0.15">
      <c r="A836" s="2" t="str">
        <f t="shared" si="137"/>
        <v>1881110500</v>
      </c>
      <c r="B836" s="2" t="str">
        <f t="shared" si="138"/>
        <v>佐伯・区政調整</v>
      </c>
      <c r="C836" s="2" t="str">
        <f t="shared" si="134"/>
        <v>01ｲ00311</v>
      </c>
      <c r="D836" s="2" t="str">
        <f t="shared" si="135"/>
        <v>肘掛椅子</v>
      </c>
      <c r="E836" s="3" t="str">
        <f t="shared" si="140"/>
        <v>肘付</v>
      </c>
      <c r="F836" s="2" t="str">
        <f t="shared" si="141"/>
        <v>０００１</v>
      </c>
      <c r="G836" s="2" t="str">
        <f>"3620003928"</f>
        <v>3620003928</v>
      </c>
      <c r="H836" s="2" t="str">
        <f t="shared" si="136"/>
        <v>001</v>
      </c>
      <c r="I836" s="2" t="str">
        <f t="shared" si="142"/>
        <v>4100401</v>
      </c>
      <c r="J836" s="2">
        <f>31400</f>
        <v>31400</v>
      </c>
      <c r="K836" s="2" t="str">
        <f t="shared" si="139"/>
        <v>脚</v>
      </c>
      <c r="L836" s="2" t="str">
        <f t="shared" si="143"/>
        <v>3630331</v>
      </c>
      <c r="M836" s="2" t="str">
        <f>""</f>
        <v/>
      </c>
    </row>
    <row r="837" spans="1:13" x14ac:dyDescent="0.15">
      <c r="A837" s="2" t="str">
        <f t="shared" si="137"/>
        <v>1881110500</v>
      </c>
      <c r="B837" s="2" t="str">
        <f t="shared" si="138"/>
        <v>佐伯・区政調整</v>
      </c>
      <c r="C837" s="2" t="str">
        <f t="shared" si="134"/>
        <v>01ｲ00311</v>
      </c>
      <c r="D837" s="2" t="str">
        <f t="shared" si="135"/>
        <v>肘掛椅子</v>
      </c>
      <c r="E837" s="3" t="str">
        <f t="shared" si="140"/>
        <v>肘付</v>
      </c>
      <c r="F837" s="2" t="str">
        <f t="shared" si="141"/>
        <v>０００１</v>
      </c>
      <c r="G837" s="2" t="str">
        <f>"3620003929"</f>
        <v>3620003929</v>
      </c>
      <c r="H837" s="2" t="str">
        <f t="shared" si="136"/>
        <v>001</v>
      </c>
      <c r="I837" s="2" t="str">
        <f t="shared" si="142"/>
        <v>4100401</v>
      </c>
      <c r="J837" s="2">
        <f>31400</f>
        <v>31400</v>
      </c>
      <c r="K837" s="2" t="str">
        <f t="shared" si="139"/>
        <v>脚</v>
      </c>
      <c r="L837" s="2" t="str">
        <f t="shared" si="143"/>
        <v>3630331</v>
      </c>
      <c r="M837" s="2" t="str">
        <f>""</f>
        <v/>
      </c>
    </row>
    <row r="838" spans="1:13" x14ac:dyDescent="0.15">
      <c r="A838" s="2" t="str">
        <f t="shared" si="137"/>
        <v>1881110500</v>
      </c>
      <c r="B838" s="2" t="str">
        <f t="shared" si="138"/>
        <v>佐伯・区政調整</v>
      </c>
      <c r="C838" s="2" t="str">
        <f t="shared" si="134"/>
        <v>01ｲ00311</v>
      </c>
      <c r="D838" s="2" t="str">
        <f t="shared" si="135"/>
        <v>肘掛椅子</v>
      </c>
      <c r="E838" s="3" t="str">
        <f t="shared" si="140"/>
        <v>肘付</v>
      </c>
      <c r="F838" s="2" t="str">
        <f t="shared" si="141"/>
        <v>０００１</v>
      </c>
      <c r="G838" s="2" t="str">
        <f>"3620003930"</f>
        <v>3620003930</v>
      </c>
      <c r="H838" s="2" t="str">
        <f t="shared" si="136"/>
        <v>001</v>
      </c>
      <c r="I838" s="2" t="str">
        <f t="shared" si="142"/>
        <v>4100401</v>
      </c>
      <c r="J838" s="2">
        <f>31400</f>
        <v>31400</v>
      </c>
      <c r="K838" s="2" t="str">
        <f t="shared" si="139"/>
        <v>脚</v>
      </c>
      <c r="L838" s="2" t="str">
        <f t="shared" si="143"/>
        <v>3630331</v>
      </c>
      <c r="M838" s="2" t="str">
        <f>""</f>
        <v/>
      </c>
    </row>
    <row r="839" spans="1:13" x14ac:dyDescent="0.15">
      <c r="A839" s="2" t="str">
        <f t="shared" si="137"/>
        <v>1881110500</v>
      </c>
      <c r="B839" s="2" t="str">
        <f t="shared" si="138"/>
        <v>佐伯・区政調整</v>
      </c>
      <c r="C839" s="2" t="str">
        <f t="shared" si="134"/>
        <v>01ｲ00311</v>
      </c>
      <c r="D839" s="2" t="str">
        <f t="shared" si="135"/>
        <v>肘掛椅子</v>
      </c>
      <c r="E839" s="3" t="str">
        <f t="shared" si="140"/>
        <v>肘付</v>
      </c>
      <c r="F839" s="2" t="str">
        <f t="shared" si="141"/>
        <v>０００１</v>
      </c>
      <c r="G839" s="2" t="str">
        <f>"3620003931"</f>
        <v>3620003931</v>
      </c>
      <c r="H839" s="2" t="str">
        <f t="shared" si="136"/>
        <v>001</v>
      </c>
      <c r="I839" s="2" t="str">
        <f t="shared" si="142"/>
        <v>4100401</v>
      </c>
      <c r="J839" s="2">
        <f>31400</f>
        <v>31400</v>
      </c>
      <c r="K839" s="2" t="str">
        <f t="shared" si="139"/>
        <v>脚</v>
      </c>
      <c r="L839" s="2" t="str">
        <f t="shared" si="143"/>
        <v>3630331</v>
      </c>
      <c r="M839" s="2" t="str">
        <f>""</f>
        <v/>
      </c>
    </row>
    <row r="840" spans="1:13" x14ac:dyDescent="0.15">
      <c r="A840" s="2" t="str">
        <f t="shared" si="137"/>
        <v>1881110500</v>
      </c>
      <c r="B840" s="2" t="str">
        <f t="shared" si="138"/>
        <v>佐伯・区政調整</v>
      </c>
      <c r="C840" s="2" t="str">
        <f t="shared" si="134"/>
        <v>01ｲ00311</v>
      </c>
      <c r="D840" s="2" t="str">
        <f t="shared" si="135"/>
        <v>肘掛椅子</v>
      </c>
      <c r="E840" s="3" t="str">
        <f t="shared" si="140"/>
        <v>肘付</v>
      </c>
      <c r="F840" s="2" t="str">
        <f t="shared" si="141"/>
        <v>０００１</v>
      </c>
      <c r="G840" s="2" t="str">
        <f>"3620003932"</f>
        <v>3620003932</v>
      </c>
      <c r="H840" s="2" t="str">
        <f t="shared" si="136"/>
        <v>001</v>
      </c>
      <c r="I840" s="2" t="str">
        <f t="shared" si="142"/>
        <v>4100401</v>
      </c>
      <c r="J840" s="2">
        <f>31400</f>
        <v>31400</v>
      </c>
      <c r="K840" s="2" t="str">
        <f t="shared" si="139"/>
        <v>脚</v>
      </c>
      <c r="L840" s="2" t="str">
        <f t="shared" si="143"/>
        <v>3630331</v>
      </c>
      <c r="M840" s="2" t="str">
        <f>""</f>
        <v/>
      </c>
    </row>
    <row r="841" spans="1:13" x14ac:dyDescent="0.15">
      <c r="A841" s="2" t="str">
        <f t="shared" si="137"/>
        <v>1881110500</v>
      </c>
      <c r="B841" s="2" t="str">
        <f t="shared" si="138"/>
        <v>佐伯・区政調整</v>
      </c>
      <c r="C841" s="2" t="str">
        <f t="shared" si="134"/>
        <v>01ｲ00311</v>
      </c>
      <c r="D841" s="2" t="str">
        <f t="shared" si="135"/>
        <v>肘掛椅子</v>
      </c>
      <c r="E841" s="3" t="str">
        <f t="shared" si="140"/>
        <v>肘付</v>
      </c>
      <c r="F841" s="2" t="str">
        <f t="shared" si="141"/>
        <v>０００１</v>
      </c>
      <c r="G841" s="2" t="str">
        <f>"3620003933"</f>
        <v>3620003933</v>
      </c>
      <c r="H841" s="2" t="str">
        <f t="shared" si="136"/>
        <v>001</v>
      </c>
      <c r="I841" s="2" t="str">
        <f t="shared" si="142"/>
        <v>4100401</v>
      </c>
      <c r="J841" s="2">
        <f>31400</f>
        <v>31400</v>
      </c>
      <c r="K841" s="2" t="str">
        <f t="shared" si="139"/>
        <v>脚</v>
      </c>
      <c r="L841" s="2" t="str">
        <f t="shared" si="143"/>
        <v>3630331</v>
      </c>
      <c r="M841" s="2" t="str">
        <f>""</f>
        <v/>
      </c>
    </row>
    <row r="842" spans="1:13" x14ac:dyDescent="0.15">
      <c r="A842" s="2" t="str">
        <f t="shared" si="137"/>
        <v>1881110500</v>
      </c>
      <c r="B842" s="2" t="str">
        <f t="shared" si="138"/>
        <v>佐伯・区政調整</v>
      </c>
      <c r="C842" s="2" t="str">
        <f t="shared" ref="C842:C899" si="144">"01ｲ00311"</f>
        <v>01ｲ00311</v>
      </c>
      <c r="D842" s="2" t="str">
        <f t="shared" ref="D842:D899" si="145">"肘掛椅子"</f>
        <v>肘掛椅子</v>
      </c>
      <c r="E842" s="3" t="str">
        <f t="shared" si="140"/>
        <v>肘付</v>
      </c>
      <c r="F842" s="2" t="str">
        <f t="shared" si="141"/>
        <v>０００１</v>
      </c>
      <c r="G842" s="2" t="str">
        <f>"3620003934"</f>
        <v>3620003934</v>
      </c>
      <c r="H842" s="2" t="str">
        <f t="shared" ref="H842:H899" si="146">"001"</f>
        <v>001</v>
      </c>
      <c r="I842" s="2" t="str">
        <f t="shared" si="142"/>
        <v>4100401</v>
      </c>
      <c r="J842" s="2">
        <f>31400</f>
        <v>31400</v>
      </c>
      <c r="K842" s="2" t="str">
        <f t="shared" si="139"/>
        <v>脚</v>
      </c>
      <c r="L842" s="2" t="str">
        <f t="shared" si="143"/>
        <v>3630331</v>
      </c>
      <c r="M842" s="2" t="str">
        <f>""</f>
        <v/>
      </c>
    </row>
    <row r="843" spans="1:13" x14ac:dyDescent="0.15">
      <c r="A843" s="2" t="str">
        <f t="shared" si="137"/>
        <v>1881110500</v>
      </c>
      <c r="B843" s="2" t="str">
        <f t="shared" si="138"/>
        <v>佐伯・区政調整</v>
      </c>
      <c r="C843" s="2" t="str">
        <f t="shared" si="144"/>
        <v>01ｲ00311</v>
      </c>
      <c r="D843" s="2" t="str">
        <f t="shared" si="145"/>
        <v>肘掛椅子</v>
      </c>
      <c r="E843" s="3" t="str">
        <f t="shared" si="140"/>
        <v>肘付</v>
      </c>
      <c r="F843" s="2" t="str">
        <f t="shared" si="141"/>
        <v>０００１</v>
      </c>
      <c r="G843" s="2" t="str">
        <f>"3620003935"</f>
        <v>3620003935</v>
      </c>
      <c r="H843" s="2" t="str">
        <f t="shared" si="146"/>
        <v>001</v>
      </c>
      <c r="I843" s="2" t="str">
        <f t="shared" si="142"/>
        <v>4100401</v>
      </c>
      <c r="J843" s="2">
        <f>31400</f>
        <v>31400</v>
      </c>
      <c r="K843" s="2" t="str">
        <f t="shared" si="139"/>
        <v>脚</v>
      </c>
      <c r="L843" s="2" t="str">
        <f t="shared" si="143"/>
        <v>3630331</v>
      </c>
      <c r="M843" s="2" t="str">
        <f>""</f>
        <v/>
      </c>
    </row>
    <row r="844" spans="1:13" x14ac:dyDescent="0.15">
      <c r="A844" s="2" t="str">
        <f t="shared" si="137"/>
        <v>1881110500</v>
      </c>
      <c r="B844" s="2" t="str">
        <f t="shared" si="138"/>
        <v>佐伯・区政調整</v>
      </c>
      <c r="C844" s="2" t="str">
        <f t="shared" si="144"/>
        <v>01ｲ00311</v>
      </c>
      <c r="D844" s="2" t="str">
        <f t="shared" si="145"/>
        <v>肘掛椅子</v>
      </c>
      <c r="E844" s="3" t="str">
        <f t="shared" si="140"/>
        <v>肘付</v>
      </c>
      <c r="F844" s="2" t="str">
        <f t="shared" si="141"/>
        <v>０００１</v>
      </c>
      <c r="G844" s="2" t="str">
        <f>"3620003936"</f>
        <v>3620003936</v>
      </c>
      <c r="H844" s="2" t="str">
        <f t="shared" si="146"/>
        <v>001</v>
      </c>
      <c r="I844" s="2" t="str">
        <f t="shared" si="142"/>
        <v>4100401</v>
      </c>
      <c r="J844" s="2">
        <f>31400</f>
        <v>31400</v>
      </c>
      <c r="K844" s="2" t="str">
        <f t="shared" si="139"/>
        <v>脚</v>
      </c>
      <c r="L844" s="2" t="str">
        <f t="shared" si="143"/>
        <v>3630331</v>
      </c>
      <c r="M844" s="2" t="str">
        <f>""</f>
        <v/>
      </c>
    </row>
    <row r="845" spans="1:13" x14ac:dyDescent="0.15">
      <c r="A845" s="2" t="str">
        <f t="shared" si="137"/>
        <v>1881110500</v>
      </c>
      <c r="B845" s="2" t="str">
        <f t="shared" si="138"/>
        <v>佐伯・区政調整</v>
      </c>
      <c r="C845" s="2" t="str">
        <f t="shared" si="144"/>
        <v>01ｲ00311</v>
      </c>
      <c r="D845" s="2" t="str">
        <f t="shared" si="145"/>
        <v>肘掛椅子</v>
      </c>
      <c r="E845" s="3" t="str">
        <f t="shared" si="140"/>
        <v>肘付</v>
      </c>
      <c r="F845" s="2" t="str">
        <f t="shared" si="141"/>
        <v>０００１</v>
      </c>
      <c r="G845" s="2" t="str">
        <f>"3620003937"</f>
        <v>3620003937</v>
      </c>
      <c r="H845" s="2" t="str">
        <f t="shared" si="146"/>
        <v>001</v>
      </c>
      <c r="I845" s="2" t="str">
        <f t="shared" si="142"/>
        <v>4100401</v>
      </c>
      <c r="J845" s="2">
        <f>31400</f>
        <v>31400</v>
      </c>
      <c r="K845" s="2" t="str">
        <f t="shared" si="139"/>
        <v>脚</v>
      </c>
      <c r="L845" s="2" t="str">
        <f t="shared" si="143"/>
        <v>3630331</v>
      </c>
      <c r="M845" s="2" t="str">
        <f>""</f>
        <v/>
      </c>
    </row>
    <row r="846" spans="1:13" x14ac:dyDescent="0.15">
      <c r="A846" s="2" t="str">
        <f t="shared" si="137"/>
        <v>1881110500</v>
      </c>
      <c r="B846" s="2" t="str">
        <f t="shared" si="138"/>
        <v>佐伯・区政調整</v>
      </c>
      <c r="C846" s="2" t="str">
        <f t="shared" si="144"/>
        <v>01ｲ00311</v>
      </c>
      <c r="D846" s="2" t="str">
        <f t="shared" si="145"/>
        <v>肘掛椅子</v>
      </c>
      <c r="E846" s="3" t="str">
        <f t="shared" si="140"/>
        <v>肘付</v>
      </c>
      <c r="F846" s="2" t="str">
        <f t="shared" si="141"/>
        <v>０００１</v>
      </c>
      <c r="G846" s="2" t="str">
        <f>"3620003938"</f>
        <v>3620003938</v>
      </c>
      <c r="H846" s="2" t="str">
        <f t="shared" si="146"/>
        <v>001</v>
      </c>
      <c r="I846" s="2" t="str">
        <f t="shared" si="142"/>
        <v>4100401</v>
      </c>
      <c r="J846" s="2">
        <f>31400</f>
        <v>31400</v>
      </c>
      <c r="K846" s="2" t="str">
        <f t="shared" si="139"/>
        <v>脚</v>
      </c>
      <c r="L846" s="2" t="str">
        <f t="shared" si="143"/>
        <v>3630331</v>
      </c>
      <c r="M846" s="2" t="str">
        <f>""</f>
        <v/>
      </c>
    </row>
    <row r="847" spans="1:13" x14ac:dyDescent="0.15">
      <c r="A847" s="2" t="str">
        <f t="shared" si="137"/>
        <v>1881110500</v>
      </c>
      <c r="B847" s="2" t="str">
        <f t="shared" si="138"/>
        <v>佐伯・区政調整</v>
      </c>
      <c r="C847" s="2" t="str">
        <f t="shared" si="144"/>
        <v>01ｲ00311</v>
      </c>
      <c r="D847" s="2" t="str">
        <f t="shared" si="145"/>
        <v>肘掛椅子</v>
      </c>
      <c r="E847" s="3" t="str">
        <f t="shared" si="140"/>
        <v>肘付</v>
      </c>
      <c r="F847" s="2" t="str">
        <f t="shared" si="141"/>
        <v>０００１</v>
      </c>
      <c r="G847" s="2" t="str">
        <f>"3620003939"</f>
        <v>3620003939</v>
      </c>
      <c r="H847" s="2" t="str">
        <f t="shared" si="146"/>
        <v>001</v>
      </c>
      <c r="I847" s="2" t="str">
        <f t="shared" si="142"/>
        <v>4100401</v>
      </c>
      <c r="J847" s="2">
        <f>31400</f>
        <v>31400</v>
      </c>
      <c r="K847" s="2" t="str">
        <f t="shared" si="139"/>
        <v>脚</v>
      </c>
      <c r="L847" s="2" t="str">
        <f t="shared" si="143"/>
        <v>3630331</v>
      </c>
      <c r="M847" s="2" t="str">
        <f>""</f>
        <v/>
      </c>
    </row>
    <row r="848" spans="1:13" x14ac:dyDescent="0.15">
      <c r="A848" s="2" t="str">
        <f t="shared" si="137"/>
        <v>1881110500</v>
      </c>
      <c r="B848" s="2" t="str">
        <f t="shared" si="138"/>
        <v>佐伯・区政調整</v>
      </c>
      <c r="C848" s="2" t="str">
        <f t="shared" si="144"/>
        <v>01ｲ00311</v>
      </c>
      <c r="D848" s="2" t="str">
        <f t="shared" si="145"/>
        <v>肘掛椅子</v>
      </c>
      <c r="E848" s="3" t="str">
        <f t="shared" si="140"/>
        <v>肘付</v>
      </c>
      <c r="F848" s="2" t="str">
        <f t="shared" si="141"/>
        <v>０００１</v>
      </c>
      <c r="G848" s="2" t="str">
        <f>"3620003940"</f>
        <v>3620003940</v>
      </c>
      <c r="H848" s="2" t="str">
        <f t="shared" si="146"/>
        <v>001</v>
      </c>
      <c r="I848" s="2" t="str">
        <f t="shared" si="142"/>
        <v>4100401</v>
      </c>
      <c r="J848" s="2">
        <f>31400</f>
        <v>31400</v>
      </c>
      <c r="K848" s="2" t="str">
        <f t="shared" si="139"/>
        <v>脚</v>
      </c>
      <c r="L848" s="2" t="str">
        <f t="shared" si="143"/>
        <v>3630331</v>
      </c>
      <c r="M848" s="2" t="str">
        <f>""</f>
        <v/>
      </c>
    </row>
    <row r="849" spans="1:13" x14ac:dyDescent="0.15">
      <c r="A849" s="2" t="str">
        <f t="shared" si="137"/>
        <v>1881110500</v>
      </c>
      <c r="B849" s="2" t="str">
        <f t="shared" si="138"/>
        <v>佐伯・区政調整</v>
      </c>
      <c r="C849" s="2" t="str">
        <f t="shared" si="144"/>
        <v>01ｲ00311</v>
      </c>
      <c r="D849" s="2" t="str">
        <f t="shared" si="145"/>
        <v>肘掛椅子</v>
      </c>
      <c r="E849" s="3" t="str">
        <f t="shared" si="140"/>
        <v>肘付</v>
      </c>
      <c r="F849" s="2" t="str">
        <f t="shared" si="141"/>
        <v>０００１</v>
      </c>
      <c r="G849" s="2" t="str">
        <f>"3620003941"</f>
        <v>3620003941</v>
      </c>
      <c r="H849" s="2" t="str">
        <f t="shared" si="146"/>
        <v>001</v>
      </c>
      <c r="I849" s="2" t="str">
        <f t="shared" si="142"/>
        <v>4100401</v>
      </c>
      <c r="J849" s="2">
        <f>31400</f>
        <v>31400</v>
      </c>
      <c r="K849" s="2" t="str">
        <f t="shared" si="139"/>
        <v>脚</v>
      </c>
      <c r="L849" s="2" t="str">
        <f t="shared" si="143"/>
        <v>3630331</v>
      </c>
      <c r="M849" s="2" t="str">
        <f>""</f>
        <v/>
      </c>
    </row>
    <row r="850" spans="1:13" x14ac:dyDescent="0.15">
      <c r="A850" s="2" t="str">
        <f t="shared" si="137"/>
        <v>1881110500</v>
      </c>
      <c r="B850" s="2" t="str">
        <f t="shared" si="138"/>
        <v>佐伯・区政調整</v>
      </c>
      <c r="C850" s="2" t="str">
        <f t="shared" si="144"/>
        <v>01ｲ00311</v>
      </c>
      <c r="D850" s="2" t="str">
        <f t="shared" si="145"/>
        <v>肘掛椅子</v>
      </c>
      <c r="E850" s="3" t="str">
        <f t="shared" si="140"/>
        <v>肘付</v>
      </c>
      <c r="F850" s="2" t="str">
        <f t="shared" si="141"/>
        <v>０００１</v>
      </c>
      <c r="G850" s="2" t="str">
        <f>"3620003942"</f>
        <v>3620003942</v>
      </c>
      <c r="H850" s="2" t="str">
        <f t="shared" si="146"/>
        <v>001</v>
      </c>
      <c r="I850" s="2" t="str">
        <f t="shared" si="142"/>
        <v>4100401</v>
      </c>
      <c r="J850" s="2">
        <f>31400</f>
        <v>31400</v>
      </c>
      <c r="K850" s="2" t="str">
        <f t="shared" si="139"/>
        <v>脚</v>
      </c>
      <c r="L850" s="2" t="str">
        <f t="shared" si="143"/>
        <v>3630331</v>
      </c>
      <c r="M850" s="2" t="str">
        <f>""</f>
        <v/>
      </c>
    </row>
    <row r="851" spans="1:13" x14ac:dyDescent="0.15">
      <c r="A851" s="2" t="str">
        <f t="shared" si="137"/>
        <v>1881110500</v>
      </c>
      <c r="B851" s="2" t="str">
        <f t="shared" si="138"/>
        <v>佐伯・区政調整</v>
      </c>
      <c r="C851" s="2" t="str">
        <f t="shared" si="144"/>
        <v>01ｲ00311</v>
      </c>
      <c r="D851" s="2" t="str">
        <f t="shared" si="145"/>
        <v>肘掛椅子</v>
      </c>
      <c r="E851" s="3" t="str">
        <f t="shared" si="140"/>
        <v>肘付</v>
      </c>
      <c r="F851" s="2" t="str">
        <f t="shared" si="141"/>
        <v>０００１</v>
      </c>
      <c r="G851" s="2" t="str">
        <f>"3620003943"</f>
        <v>3620003943</v>
      </c>
      <c r="H851" s="2" t="str">
        <f t="shared" si="146"/>
        <v>001</v>
      </c>
      <c r="I851" s="2" t="str">
        <f t="shared" si="142"/>
        <v>4100401</v>
      </c>
      <c r="J851" s="2">
        <f>31400</f>
        <v>31400</v>
      </c>
      <c r="K851" s="2" t="str">
        <f t="shared" si="139"/>
        <v>脚</v>
      </c>
      <c r="L851" s="2" t="str">
        <f t="shared" si="143"/>
        <v>3630331</v>
      </c>
      <c r="M851" s="2" t="str">
        <f>""</f>
        <v/>
      </c>
    </row>
    <row r="852" spans="1:13" x14ac:dyDescent="0.15">
      <c r="A852" s="2" t="str">
        <f t="shared" si="137"/>
        <v>1881110500</v>
      </c>
      <c r="B852" s="2" t="str">
        <f t="shared" si="138"/>
        <v>佐伯・区政調整</v>
      </c>
      <c r="C852" s="2" t="str">
        <f t="shared" si="144"/>
        <v>01ｲ00311</v>
      </c>
      <c r="D852" s="2" t="str">
        <f t="shared" si="145"/>
        <v>肘掛椅子</v>
      </c>
      <c r="E852" s="3" t="str">
        <f t="shared" si="140"/>
        <v>肘付</v>
      </c>
      <c r="F852" s="2" t="str">
        <f t="shared" si="141"/>
        <v>０００１</v>
      </c>
      <c r="G852" s="2" t="str">
        <f>"3620003944"</f>
        <v>3620003944</v>
      </c>
      <c r="H852" s="2" t="str">
        <f t="shared" si="146"/>
        <v>001</v>
      </c>
      <c r="I852" s="2" t="str">
        <f t="shared" si="142"/>
        <v>4100401</v>
      </c>
      <c r="J852" s="2">
        <f>31400</f>
        <v>31400</v>
      </c>
      <c r="K852" s="2" t="str">
        <f t="shared" si="139"/>
        <v>脚</v>
      </c>
      <c r="L852" s="2" t="str">
        <f t="shared" si="143"/>
        <v>3630331</v>
      </c>
      <c r="M852" s="2" t="str">
        <f>""</f>
        <v/>
      </c>
    </row>
    <row r="853" spans="1:13" x14ac:dyDescent="0.15">
      <c r="A853" s="2" t="str">
        <f t="shared" si="137"/>
        <v>1881110500</v>
      </c>
      <c r="B853" s="2" t="str">
        <f t="shared" si="138"/>
        <v>佐伯・区政調整</v>
      </c>
      <c r="C853" s="2" t="str">
        <f t="shared" si="144"/>
        <v>01ｲ00311</v>
      </c>
      <c r="D853" s="2" t="str">
        <f t="shared" si="145"/>
        <v>肘掛椅子</v>
      </c>
      <c r="E853" s="3" t="str">
        <f t="shared" si="140"/>
        <v>肘付</v>
      </c>
      <c r="F853" s="2" t="str">
        <f t="shared" si="141"/>
        <v>０００１</v>
      </c>
      <c r="G853" s="2" t="str">
        <f>"3620003945"</f>
        <v>3620003945</v>
      </c>
      <c r="H853" s="2" t="str">
        <f t="shared" si="146"/>
        <v>001</v>
      </c>
      <c r="I853" s="2" t="str">
        <f t="shared" si="142"/>
        <v>4100401</v>
      </c>
      <c r="J853" s="2">
        <f>31400</f>
        <v>31400</v>
      </c>
      <c r="K853" s="2" t="str">
        <f t="shared" si="139"/>
        <v>脚</v>
      </c>
      <c r="L853" s="2" t="str">
        <f t="shared" si="143"/>
        <v>3630331</v>
      </c>
      <c r="M853" s="2" t="str">
        <f>""</f>
        <v/>
      </c>
    </row>
    <row r="854" spans="1:13" x14ac:dyDescent="0.15">
      <c r="A854" s="2" t="str">
        <f t="shared" si="137"/>
        <v>1881110500</v>
      </c>
      <c r="B854" s="2" t="str">
        <f t="shared" si="138"/>
        <v>佐伯・区政調整</v>
      </c>
      <c r="C854" s="2" t="str">
        <f t="shared" si="144"/>
        <v>01ｲ00311</v>
      </c>
      <c r="D854" s="2" t="str">
        <f t="shared" si="145"/>
        <v>肘掛椅子</v>
      </c>
      <c r="E854" s="3" t="str">
        <f t="shared" si="140"/>
        <v>肘付</v>
      </c>
      <c r="F854" s="2" t="str">
        <f t="shared" si="141"/>
        <v>０００１</v>
      </c>
      <c r="G854" s="2" t="str">
        <f>"3620003946"</f>
        <v>3620003946</v>
      </c>
      <c r="H854" s="2" t="str">
        <f t="shared" si="146"/>
        <v>001</v>
      </c>
      <c r="I854" s="2" t="str">
        <f t="shared" si="142"/>
        <v>4100401</v>
      </c>
      <c r="J854" s="2">
        <f>31400</f>
        <v>31400</v>
      </c>
      <c r="K854" s="2" t="str">
        <f t="shared" si="139"/>
        <v>脚</v>
      </c>
      <c r="L854" s="2" t="str">
        <f t="shared" si="143"/>
        <v>3630331</v>
      </c>
      <c r="M854" s="2" t="str">
        <f>""</f>
        <v/>
      </c>
    </row>
    <row r="855" spans="1:13" x14ac:dyDescent="0.15">
      <c r="A855" s="2" t="str">
        <f t="shared" si="137"/>
        <v>1881110500</v>
      </c>
      <c r="B855" s="2" t="str">
        <f t="shared" si="138"/>
        <v>佐伯・区政調整</v>
      </c>
      <c r="C855" s="2" t="str">
        <f t="shared" si="144"/>
        <v>01ｲ00311</v>
      </c>
      <c r="D855" s="2" t="str">
        <f t="shared" si="145"/>
        <v>肘掛椅子</v>
      </c>
      <c r="E855" s="3" t="str">
        <f t="shared" si="140"/>
        <v>肘付</v>
      </c>
      <c r="F855" s="2" t="str">
        <f t="shared" si="141"/>
        <v>０００１</v>
      </c>
      <c r="G855" s="2" t="str">
        <f>"3620003947"</f>
        <v>3620003947</v>
      </c>
      <c r="H855" s="2" t="str">
        <f t="shared" si="146"/>
        <v>001</v>
      </c>
      <c r="I855" s="2" t="str">
        <f t="shared" si="142"/>
        <v>4100401</v>
      </c>
      <c r="J855" s="2">
        <f>31400</f>
        <v>31400</v>
      </c>
      <c r="K855" s="2" t="str">
        <f t="shared" si="139"/>
        <v>脚</v>
      </c>
      <c r="L855" s="2" t="str">
        <f t="shared" si="143"/>
        <v>3630331</v>
      </c>
      <c r="M855" s="2" t="str">
        <f>""</f>
        <v/>
      </c>
    </row>
    <row r="856" spans="1:13" x14ac:dyDescent="0.15">
      <c r="A856" s="2" t="str">
        <f t="shared" si="137"/>
        <v>1881110500</v>
      </c>
      <c r="B856" s="2" t="str">
        <f t="shared" si="138"/>
        <v>佐伯・区政調整</v>
      </c>
      <c r="C856" s="2" t="str">
        <f t="shared" si="144"/>
        <v>01ｲ00311</v>
      </c>
      <c r="D856" s="2" t="str">
        <f t="shared" si="145"/>
        <v>肘掛椅子</v>
      </c>
      <c r="E856" s="3" t="str">
        <f t="shared" si="140"/>
        <v>肘付</v>
      </c>
      <c r="F856" s="2" t="str">
        <f t="shared" si="141"/>
        <v>０００１</v>
      </c>
      <c r="G856" s="2" t="str">
        <f>"3620003948"</f>
        <v>3620003948</v>
      </c>
      <c r="H856" s="2" t="str">
        <f t="shared" si="146"/>
        <v>001</v>
      </c>
      <c r="I856" s="2" t="str">
        <f t="shared" si="142"/>
        <v>4100401</v>
      </c>
      <c r="J856" s="2">
        <f>31400</f>
        <v>31400</v>
      </c>
      <c r="K856" s="2" t="str">
        <f t="shared" si="139"/>
        <v>脚</v>
      </c>
      <c r="L856" s="2" t="str">
        <f t="shared" si="143"/>
        <v>3630331</v>
      </c>
      <c r="M856" s="2" t="str">
        <f>""</f>
        <v/>
      </c>
    </row>
    <row r="857" spans="1:13" x14ac:dyDescent="0.15">
      <c r="A857" s="2" t="str">
        <f t="shared" si="137"/>
        <v>1881110500</v>
      </c>
      <c r="B857" s="2" t="str">
        <f t="shared" si="138"/>
        <v>佐伯・区政調整</v>
      </c>
      <c r="C857" s="2" t="str">
        <f t="shared" si="144"/>
        <v>01ｲ00311</v>
      </c>
      <c r="D857" s="2" t="str">
        <f t="shared" si="145"/>
        <v>肘掛椅子</v>
      </c>
      <c r="E857" s="3" t="str">
        <f t="shared" si="140"/>
        <v>肘付</v>
      </c>
      <c r="F857" s="2" t="str">
        <f t="shared" si="141"/>
        <v>０００１</v>
      </c>
      <c r="G857" s="2" t="str">
        <f>"3620003949"</f>
        <v>3620003949</v>
      </c>
      <c r="H857" s="2" t="str">
        <f t="shared" si="146"/>
        <v>001</v>
      </c>
      <c r="I857" s="2" t="str">
        <f t="shared" si="142"/>
        <v>4100401</v>
      </c>
      <c r="J857" s="2">
        <f>31400</f>
        <v>31400</v>
      </c>
      <c r="K857" s="2" t="str">
        <f t="shared" si="139"/>
        <v>脚</v>
      </c>
      <c r="L857" s="2" t="str">
        <f t="shared" si="143"/>
        <v>3630331</v>
      </c>
      <c r="M857" s="2" t="str">
        <f>""</f>
        <v/>
      </c>
    </row>
    <row r="858" spans="1:13" x14ac:dyDescent="0.15">
      <c r="A858" s="2" t="str">
        <f t="shared" ref="A858:A899" si="147">"1881110500"</f>
        <v>1881110500</v>
      </c>
      <c r="B858" s="2" t="str">
        <f t="shared" ref="B858:B899" si="148">"佐伯・区政調整"</f>
        <v>佐伯・区政調整</v>
      </c>
      <c r="C858" s="2" t="str">
        <f t="shared" si="144"/>
        <v>01ｲ00311</v>
      </c>
      <c r="D858" s="2" t="str">
        <f t="shared" si="145"/>
        <v>肘掛椅子</v>
      </c>
      <c r="E858" s="3" t="str">
        <f t="shared" si="140"/>
        <v>肘付</v>
      </c>
      <c r="F858" s="2" t="str">
        <f t="shared" si="141"/>
        <v>０００１</v>
      </c>
      <c r="G858" s="2" t="str">
        <f>"3620003950"</f>
        <v>3620003950</v>
      </c>
      <c r="H858" s="2" t="str">
        <f t="shared" si="146"/>
        <v>001</v>
      </c>
      <c r="I858" s="2" t="str">
        <f t="shared" si="142"/>
        <v>4100401</v>
      </c>
      <c r="J858" s="2">
        <f>31400</f>
        <v>31400</v>
      </c>
      <c r="K858" s="2" t="str">
        <f t="shared" ref="K858:K899" si="149">"脚"</f>
        <v>脚</v>
      </c>
      <c r="L858" s="2" t="str">
        <f t="shared" si="143"/>
        <v>3630331</v>
      </c>
      <c r="M858" s="2" t="str">
        <f>""</f>
        <v/>
      </c>
    </row>
    <row r="859" spans="1:13" x14ac:dyDescent="0.15">
      <c r="A859" s="2" t="str">
        <f t="shared" si="147"/>
        <v>1881110500</v>
      </c>
      <c r="B859" s="2" t="str">
        <f t="shared" si="148"/>
        <v>佐伯・区政調整</v>
      </c>
      <c r="C859" s="2" t="str">
        <f t="shared" si="144"/>
        <v>01ｲ00311</v>
      </c>
      <c r="D859" s="2" t="str">
        <f t="shared" si="145"/>
        <v>肘掛椅子</v>
      </c>
      <c r="E859" s="3" t="str">
        <f t="shared" si="140"/>
        <v>肘付</v>
      </c>
      <c r="F859" s="2" t="str">
        <f t="shared" si="141"/>
        <v>０００１</v>
      </c>
      <c r="G859" s="2" t="str">
        <f>"3620003951"</f>
        <v>3620003951</v>
      </c>
      <c r="H859" s="2" t="str">
        <f t="shared" si="146"/>
        <v>001</v>
      </c>
      <c r="I859" s="2" t="str">
        <f t="shared" si="142"/>
        <v>4100401</v>
      </c>
      <c r="J859" s="2">
        <f>31400</f>
        <v>31400</v>
      </c>
      <c r="K859" s="2" t="str">
        <f t="shared" si="149"/>
        <v>脚</v>
      </c>
      <c r="L859" s="2" t="str">
        <f t="shared" si="143"/>
        <v>3630331</v>
      </c>
      <c r="M859" s="2" t="str">
        <f>""</f>
        <v/>
      </c>
    </row>
    <row r="860" spans="1:13" x14ac:dyDescent="0.15">
      <c r="A860" s="2" t="str">
        <f t="shared" si="147"/>
        <v>1881110500</v>
      </c>
      <c r="B860" s="2" t="str">
        <f t="shared" si="148"/>
        <v>佐伯・区政調整</v>
      </c>
      <c r="C860" s="2" t="str">
        <f t="shared" si="144"/>
        <v>01ｲ00311</v>
      </c>
      <c r="D860" s="2" t="str">
        <f t="shared" si="145"/>
        <v>肘掛椅子</v>
      </c>
      <c r="E860" s="3" t="str">
        <f t="shared" si="140"/>
        <v>肘付</v>
      </c>
      <c r="F860" s="2" t="str">
        <f t="shared" si="141"/>
        <v>０００１</v>
      </c>
      <c r="G860" s="2" t="str">
        <f>"3620003952"</f>
        <v>3620003952</v>
      </c>
      <c r="H860" s="2" t="str">
        <f t="shared" si="146"/>
        <v>001</v>
      </c>
      <c r="I860" s="2" t="str">
        <f t="shared" si="142"/>
        <v>4100401</v>
      </c>
      <c r="J860" s="2">
        <f>31400</f>
        <v>31400</v>
      </c>
      <c r="K860" s="2" t="str">
        <f t="shared" si="149"/>
        <v>脚</v>
      </c>
      <c r="L860" s="2" t="str">
        <f t="shared" si="143"/>
        <v>3630331</v>
      </c>
      <c r="M860" s="2" t="str">
        <f>""</f>
        <v/>
      </c>
    </row>
    <row r="861" spans="1:13" x14ac:dyDescent="0.15">
      <c r="A861" s="2" t="str">
        <f t="shared" si="147"/>
        <v>1881110500</v>
      </c>
      <c r="B861" s="2" t="str">
        <f t="shared" si="148"/>
        <v>佐伯・区政調整</v>
      </c>
      <c r="C861" s="2" t="str">
        <f t="shared" si="144"/>
        <v>01ｲ00311</v>
      </c>
      <c r="D861" s="2" t="str">
        <f t="shared" si="145"/>
        <v>肘掛椅子</v>
      </c>
      <c r="E861" s="3" t="str">
        <f t="shared" si="140"/>
        <v>肘付</v>
      </c>
      <c r="F861" s="2" t="str">
        <f t="shared" si="141"/>
        <v>０００１</v>
      </c>
      <c r="G861" s="2" t="str">
        <f>"3620003953"</f>
        <v>3620003953</v>
      </c>
      <c r="H861" s="2" t="str">
        <f t="shared" si="146"/>
        <v>001</v>
      </c>
      <c r="I861" s="2" t="str">
        <f t="shared" si="142"/>
        <v>4100401</v>
      </c>
      <c r="J861" s="2">
        <f>31400</f>
        <v>31400</v>
      </c>
      <c r="K861" s="2" t="str">
        <f t="shared" si="149"/>
        <v>脚</v>
      </c>
      <c r="L861" s="2" t="str">
        <f t="shared" si="143"/>
        <v>3630331</v>
      </c>
      <c r="M861" s="2" t="str">
        <f>""</f>
        <v/>
      </c>
    </row>
    <row r="862" spans="1:13" x14ac:dyDescent="0.15">
      <c r="A862" s="2" t="str">
        <f t="shared" si="147"/>
        <v>1881110500</v>
      </c>
      <c r="B862" s="2" t="str">
        <f t="shared" si="148"/>
        <v>佐伯・区政調整</v>
      </c>
      <c r="C862" s="2" t="str">
        <f t="shared" si="144"/>
        <v>01ｲ00311</v>
      </c>
      <c r="D862" s="2" t="str">
        <f t="shared" si="145"/>
        <v>肘掛椅子</v>
      </c>
      <c r="E862" s="3" t="str">
        <f t="shared" si="140"/>
        <v>肘付</v>
      </c>
      <c r="F862" s="2" t="str">
        <f t="shared" si="141"/>
        <v>０００１</v>
      </c>
      <c r="G862" s="2" t="str">
        <f>"3620003954"</f>
        <v>3620003954</v>
      </c>
      <c r="H862" s="2" t="str">
        <f t="shared" si="146"/>
        <v>001</v>
      </c>
      <c r="I862" s="2" t="str">
        <f t="shared" si="142"/>
        <v>4100401</v>
      </c>
      <c r="J862" s="2">
        <f>31400</f>
        <v>31400</v>
      </c>
      <c r="K862" s="2" t="str">
        <f t="shared" si="149"/>
        <v>脚</v>
      </c>
      <c r="L862" s="2" t="str">
        <f t="shared" si="143"/>
        <v>3630331</v>
      </c>
      <c r="M862" s="2" t="str">
        <f>""</f>
        <v/>
      </c>
    </row>
    <row r="863" spans="1:13" x14ac:dyDescent="0.15">
      <c r="A863" s="2" t="str">
        <f t="shared" si="147"/>
        <v>1881110500</v>
      </c>
      <c r="B863" s="2" t="str">
        <f t="shared" si="148"/>
        <v>佐伯・区政調整</v>
      </c>
      <c r="C863" s="2" t="str">
        <f t="shared" si="144"/>
        <v>01ｲ00311</v>
      </c>
      <c r="D863" s="2" t="str">
        <f t="shared" si="145"/>
        <v>肘掛椅子</v>
      </c>
      <c r="E863" s="3" t="str">
        <f t="shared" si="140"/>
        <v>肘付</v>
      </c>
      <c r="F863" s="2" t="str">
        <f t="shared" si="141"/>
        <v>０００１</v>
      </c>
      <c r="G863" s="2" t="str">
        <f>"3620003955"</f>
        <v>3620003955</v>
      </c>
      <c r="H863" s="2" t="str">
        <f t="shared" si="146"/>
        <v>001</v>
      </c>
      <c r="I863" s="2" t="str">
        <f t="shared" si="142"/>
        <v>4100401</v>
      </c>
      <c r="J863" s="2">
        <f>31400</f>
        <v>31400</v>
      </c>
      <c r="K863" s="2" t="str">
        <f t="shared" si="149"/>
        <v>脚</v>
      </c>
      <c r="L863" s="2" t="str">
        <f t="shared" si="143"/>
        <v>3630331</v>
      </c>
      <c r="M863" s="2" t="str">
        <f>""</f>
        <v/>
      </c>
    </row>
    <row r="864" spans="1:13" x14ac:dyDescent="0.15">
      <c r="A864" s="2" t="str">
        <f t="shared" si="147"/>
        <v>1881110500</v>
      </c>
      <c r="B864" s="2" t="str">
        <f t="shared" si="148"/>
        <v>佐伯・区政調整</v>
      </c>
      <c r="C864" s="2" t="str">
        <f t="shared" si="144"/>
        <v>01ｲ00311</v>
      </c>
      <c r="D864" s="2" t="str">
        <f t="shared" si="145"/>
        <v>肘掛椅子</v>
      </c>
      <c r="E864" s="3" t="str">
        <f t="shared" si="140"/>
        <v>肘付</v>
      </c>
      <c r="F864" s="2" t="str">
        <f t="shared" si="141"/>
        <v>０００１</v>
      </c>
      <c r="G864" s="2" t="str">
        <f>"3620003956"</f>
        <v>3620003956</v>
      </c>
      <c r="H864" s="2" t="str">
        <f t="shared" si="146"/>
        <v>001</v>
      </c>
      <c r="I864" s="2" t="str">
        <f t="shared" si="142"/>
        <v>4100401</v>
      </c>
      <c r="J864" s="2">
        <f>31400</f>
        <v>31400</v>
      </c>
      <c r="K864" s="2" t="str">
        <f t="shared" si="149"/>
        <v>脚</v>
      </c>
      <c r="L864" s="2" t="str">
        <f t="shared" si="143"/>
        <v>3630331</v>
      </c>
      <c r="M864" s="2" t="str">
        <f>""</f>
        <v/>
      </c>
    </row>
    <row r="865" spans="1:13" x14ac:dyDescent="0.15">
      <c r="A865" s="2" t="str">
        <f t="shared" si="147"/>
        <v>1881110500</v>
      </c>
      <c r="B865" s="2" t="str">
        <f t="shared" si="148"/>
        <v>佐伯・区政調整</v>
      </c>
      <c r="C865" s="2" t="str">
        <f t="shared" si="144"/>
        <v>01ｲ00311</v>
      </c>
      <c r="D865" s="2" t="str">
        <f t="shared" si="145"/>
        <v>肘掛椅子</v>
      </c>
      <c r="E865" s="3" t="str">
        <f t="shared" si="140"/>
        <v>肘付</v>
      </c>
      <c r="F865" s="2" t="str">
        <f t="shared" si="141"/>
        <v>０００１</v>
      </c>
      <c r="G865" s="2" t="str">
        <f>"3620003957"</f>
        <v>3620003957</v>
      </c>
      <c r="H865" s="2" t="str">
        <f t="shared" si="146"/>
        <v>001</v>
      </c>
      <c r="I865" s="2" t="str">
        <f t="shared" si="142"/>
        <v>4100401</v>
      </c>
      <c r="J865" s="2">
        <f>31400</f>
        <v>31400</v>
      </c>
      <c r="K865" s="2" t="str">
        <f t="shared" si="149"/>
        <v>脚</v>
      </c>
      <c r="L865" s="2" t="str">
        <f t="shared" si="143"/>
        <v>3630331</v>
      </c>
      <c r="M865" s="2" t="str">
        <f>""</f>
        <v/>
      </c>
    </row>
    <row r="866" spans="1:13" x14ac:dyDescent="0.15">
      <c r="A866" s="2" t="str">
        <f t="shared" si="147"/>
        <v>1881110500</v>
      </c>
      <c r="B866" s="2" t="str">
        <f t="shared" si="148"/>
        <v>佐伯・区政調整</v>
      </c>
      <c r="C866" s="2" t="str">
        <f t="shared" si="144"/>
        <v>01ｲ00311</v>
      </c>
      <c r="D866" s="2" t="str">
        <f t="shared" si="145"/>
        <v>肘掛椅子</v>
      </c>
      <c r="E866" s="3" t="str">
        <f t="shared" ref="E866:E899" si="150">"肘付"</f>
        <v>肘付</v>
      </c>
      <c r="F866" s="2" t="str">
        <f t="shared" ref="F866:F899" si="151">"０００１"</f>
        <v>０００１</v>
      </c>
      <c r="G866" s="2" t="str">
        <f>"3620003958"</f>
        <v>3620003958</v>
      </c>
      <c r="H866" s="2" t="str">
        <f t="shared" si="146"/>
        <v>001</v>
      </c>
      <c r="I866" s="2" t="str">
        <f t="shared" ref="I866:I899" si="152">"4100401"</f>
        <v>4100401</v>
      </c>
      <c r="J866" s="2">
        <f>31400</f>
        <v>31400</v>
      </c>
      <c r="K866" s="2" t="str">
        <f t="shared" si="149"/>
        <v>脚</v>
      </c>
      <c r="L866" s="2" t="str">
        <f t="shared" ref="L866:L899" si="153">"3630331"</f>
        <v>3630331</v>
      </c>
      <c r="M866" s="2" t="str">
        <f>""</f>
        <v/>
      </c>
    </row>
    <row r="867" spans="1:13" x14ac:dyDescent="0.15">
      <c r="A867" s="2" t="str">
        <f t="shared" si="147"/>
        <v>1881110500</v>
      </c>
      <c r="B867" s="2" t="str">
        <f t="shared" si="148"/>
        <v>佐伯・区政調整</v>
      </c>
      <c r="C867" s="2" t="str">
        <f t="shared" si="144"/>
        <v>01ｲ00311</v>
      </c>
      <c r="D867" s="2" t="str">
        <f t="shared" si="145"/>
        <v>肘掛椅子</v>
      </c>
      <c r="E867" s="3" t="str">
        <f t="shared" si="150"/>
        <v>肘付</v>
      </c>
      <c r="F867" s="2" t="str">
        <f t="shared" si="151"/>
        <v>０００１</v>
      </c>
      <c r="G867" s="2" t="str">
        <f>"3620003959"</f>
        <v>3620003959</v>
      </c>
      <c r="H867" s="2" t="str">
        <f t="shared" si="146"/>
        <v>001</v>
      </c>
      <c r="I867" s="2" t="str">
        <f t="shared" si="152"/>
        <v>4100401</v>
      </c>
      <c r="J867" s="2">
        <f>31400</f>
        <v>31400</v>
      </c>
      <c r="K867" s="2" t="str">
        <f t="shared" si="149"/>
        <v>脚</v>
      </c>
      <c r="L867" s="2" t="str">
        <f t="shared" si="153"/>
        <v>3630331</v>
      </c>
      <c r="M867" s="2" t="str">
        <f>""</f>
        <v/>
      </c>
    </row>
    <row r="868" spans="1:13" x14ac:dyDescent="0.15">
      <c r="A868" s="2" t="str">
        <f t="shared" si="147"/>
        <v>1881110500</v>
      </c>
      <c r="B868" s="2" t="str">
        <f t="shared" si="148"/>
        <v>佐伯・区政調整</v>
      </c>
      <c r="C868" s="2" t="str">
        <f t="shared" si="144"/>
        <v>01ｲ00311</v>
      </c>
      <c r="D868" s="2" t="str">
        <f t="shared" si="145"/>
        <v>肘掛椅子</v>
      </c>
      <c r="E868" s="3" t="str">
        <f t="shared" si="150"/>
        <v>肘付</v>
      </c>
      <c r="F868" s="2" t="str">
        <f t="shared" si="151"/>
        <v>０００１</v>
      </c>
      <c r="G868" s="2" t="str">
        <f>"3620003960"</f>
        <v>3620003960</v>
      </c>
      <c r="H868" s="2" t="str">
        <f t="shared" si="146"/>
        <v>001</v>
      </c>
      <c r="I868" s="2" t="str">
        <f t="shared" si="152"/>
        <v>4100401</v>
      </c>
      <c r="J868" s="2">
        <f>31400</f>
        <v>31400</v>
      </c>
      <c r="K868" s="2" t="str">
        <f t="shared" si="149"/>
        <v>脚</v>
      </c>
      <c r="L868" s="2" t="str">
        <f t="shared" si="153"/>
        <v>3630331</v>
      </c>
      <c r="M868" s="2" t="str">
        <f>""</f>
        <v/>
      </c>
    </row>
    <row r="869" spans="1:13" x14ac:dyDescent="0.15">
      <c r="A869" s="2" t="str">
        <f t="shared" si="147"/>
        <v>1881110500</v>
      </c>
      <c r="B869" s="2" t="str">
        <f t="shared" si="148"/>
        <v>佐伯・区政調整</v>
      </c>
      <c r="C869" s="2" t="str">
        <f t="shared" si="144"/>
        <v>01ｲ00311</v>
      </c>
      <c r="D869" s="2" t="str">
        <f t="shared" si="145"/>
        <v>肘掛椅子</v>
      </c>
      <c r="E869" s="3" t="str">
        <f t="shared" si="150"/>
        <v>肘付</v>
      </c>
      <c r="F869" s="2" t="str">
        <f t="shared" si="151"/>
        <v>０００１</v>
      </c>
      <c r="G869" s="2" t="str">
        <f>"3620003961"</f>
        <v>3620003961</v>
      </c>
      <c r="H869" s="2" t="str">
        <f t="shared" si="146"/>
        <v>001</v>
      </c>
      <c r="I869" s="2" t="str">
        <f t="shared" si="152"/>
        <v>4100401</v>
      </c>
      <c r="J869" s="2">
        <f>31400</f>
        <v>31400</v>
      </c>
      <c r="K869" s="2" t="str">
        <f t="shared" si="149"/>
        <v>脚</v>
      </c>
      <c r="L869" s="2" t="str">
        <f t="shared" si="153"/>
        <v>3630331</v>
      </c>
      <c r="M869" s="2" t="str">
        <f>""</f>
        <v/>
      </c>
    </row>
    <row r="870" spans="1:13" x14ac:dyDescent="0.15">
      <c r="A870" s="2" t="str">
        <f t="shared" si="147"/>
        <v>1881110500</v>
      </c>
      <c r="B870" s="2" t="str">
        <f t="shared" si="148"/>
        <v>佐伯・区政調整</v>
      </c>
      <c r="C870" s="2" t="str">
        <f t="shared" si="144"/>
        <v>01ｲ00311</v>
      </c>
      <c r="D870" s="2" t="str">
        <f t="shared" si="145"/>
        <v>肘掛椅子</v>
      </c>
      <c r="E870" s="3" t="str">
        <f t="shared" si="150"/>
        <v>肘付</v>
      </c>
      <c r="F870" s="2" t="str">
        <f t="shared" si="151"/>
        <v>０００１</v>
      </c>
      <c r="G870" s="2" t="str">
        <f>"3620003962"</f>
        <v>3620003962</v>
      </c>
      <c r="H870" s="2" t="str">
        <f t="shared" si="146"/>
        <v>001</v>
      </c>
      <c r="I870" s="2" t="str">
        <f t="shared" si="152"/>
        <v>4100401</v>
      </c>
      <c r="J870" s="2">
        <f>31400</f>
        <v>31400</v>
      </c>
      <c r="K870" s="2" t="str">
        <f t="shared" si="149"/>
        <v>脚</v>
      </c>
      <c r="L870" s="2" t="str">
        <f t="shared" si="153"/>
        <v>3630331</v>
      </c>
      <c r="M870" s="2" t="str">
        <f>""</f>
        <v/>
      </c>
    </row>
    <row r="871" spans="1:13" x14ac:dyDescent="0.15">
      <c r="A871" s="2" t="str">
        <f t="shared" si="147"/>
        <v>1881110500</v>
      </c>
      <c r="B871" s="2" t="str">
        <f t="shared" si="148"/>
        <v>佐伯・区政調整</v>
      </c>
      <c r="C871" s="2" t="str">
        <f t="shared" si="144"/>
        <v>01ｲ00311</v>
      </c>
      <c r="D871" s="2" t="str">
        <f t="shared" si="145"/>
        <v>肘掛椅子</v>
      </c>
      <c r="E871" s="3" t="str">
        <f t="shared" si="150"/>
        <v>肘付</v>
      </c>
      <c r="F871" s="2" t="str">
        <f t="shared" si="151"/>
        <v>０００１</v>
      </c>
      <c r="G871" s="2" t="str">
        <f>"3620003963"</f>
        <v>3620003963</v>
      </c>
      <c r="H871" s="2" t="str">
        <f t="shared" si="146"/>
        <v>001</v>
      </c>
      <c r="I871" s="2" t="str">
        <f t="shared" si="152"/>
        <v>4100401</v>
      </c>
      <c r="J871" s="2">
        <f>31400</f>
        <v>31400</v>
      </c>
      <c r="K871" s="2" t="str">
        <f t="shared" si="149"/>
        <v>脚</v>
      </c>
      <c r="L871" s="2" t="str">
        <f t="shared" si="153"/>
        <v>3630331</v>
      </c>
      <c r="M871" s="2" t="str">
        <f>""</f>
        <v/>
      </c>
    </row>
    <row r="872" spans="1:13" x14ac:dyDescent="0.15">
      <c r="A872" s="2" t="str">
        <f t="shared" si="147"/>
        <v>1881110500</v>
      </c>
      <c r="B872" s="2" t="str">
        <f t="shared" si="148"/>
        <v>佐伯・区政調整</v>
      </c>
      <c r="C872" s="2" t="str">
        <f t="shared" si="144"/>
        <v>01ｲ00311</v>
      </c>
      <c r="D872" s="2" t="str">
        <f t="shared" si="145"/>
        <v>肘掛椅子</v>
      </c>
      <c r="E872" s="3" t="str">
        <f t="shared" si="150"/>
        <v>肘付</v>
      </c>
      <c r="F872" s="2" t="str">
        <f t="shared" si="151"/>
        <v>０００１</v>
      </c>
      <c r="G872" s="2" t="str">
        <f>"3620003964"</f>
        <v>3620003964</v>
      </c>
      <c r="H872" s="2" t="str">
        <f t="shared" si="146"/>
        <v>001</v>
      </c>
      <c r="I872" s="2" t="str">
        <f t="shared" si="152"/>
        <v>4100401</v>
      </c>
      <c r="J872" s="2">
        <f>31400</f>
        <v>31400</v>
      </c>
      <c r="K872" s="2" t="str">
        <f t="shared" si="149"/>
        <v>脚</v>
      </c>
      <c r="L872" s="2" t="str">
        <f t="shared" si="153"/>
        <v>3630331</v>
      </c>
      <c r="M872" s="2" t="str">
        <f>""</f>
        <v/>
      </c>
    </row>
    <row r="873" spans="1:13" x14ac:dyDescent="0.15">
      <c r="A873" s="2" t="str">
        <f t="shared" si="147"/>
        <v>1881110500</v>
      </c>
      <c r="B873" s="2" t="str">
        <f t="shared" si="148"/>
        <v>佐伯・区政調整</v>
      </c>
      <c r="C873" s="2" t="str">
        <f t="shared" si="144"/>
        <v>01ｲ00311</v>
      </c>
      <c r="D873" s="2" t="str">
        <f t="shared" si="145"/>
        <v>肘掛椅子</v>
      </c>
      <c r="E873" s="3" t="str">
        <f t="shared" si="150"/>
        <v>肘付</v>
      </c>
      <c r="F873" s="2" t="str">
        <f t="shared" si="151"/>
        <v>０００１</v>
      </c>
      <c r="G873" s="2" t="str">
        <f>"3620003965"</f>
        <v>3620003965</v>
      </c>
      <c r="H873" s="2" t="str">
        <f t="shared" si="146"/>
        <v>001</v>
      </c>
      <c r="I873" s="2" t="str">
        <f t="shared" si="152"/>
        <v>4100401</v>
      </c>
      <c r="J873" s="2">
        <f>31400</f>
        <v>31400</v>
      </c>
      <c r="K873" s="2" t="str">
        <f t="shared" si="149"/>
        <v>脚</v>
      </c>
      <c r="L873" s="2" t="str">
        <f t="shared" si="153"/>
        <v>3630331</v>
      </c>
      <c r="M873" s="2" t="str">
        <f>""</f>
        <v/>
      </c>
    </row>
    <row r="874" spans="1:13" x14ac:dyDescent="0.15">
      <c r="A874" s="2" t="str">
        <f t="shared" si="147"/>
        <v>1881110500</v>
      </c>
      <c r="B874" s="2" t="str">
        <f t="shared" si="148"/>
        <v>佐伯・区政調整</v>
      </c>
      <c r="C874" s="2" t="str">
        <f t="shared" si="144"/>
        <v>01ｲ00311</v>
      </c>
      <c r="D874" s="2" t="str">
        <f t="shared" si="145"/>
        <v>肘掛椅子</v>
      </c>
      <c r="E874" s="3" t="str">
        <f t="shared" si="150"/>
        <v>肘付</v>
      </c>
      <c r="F874" s="2" t="str">
        <f t="shared" si="151"/>
        <v>０００１</v>
      </c>
      <c r="G874" s="2" t="str">
        <f>"3620003966"</f>
        <v>3620003966</v>
      </c>
      <c r="H874" s="2" t="str">
        <f t="shared" si="146"/>
        <v>001</v>
      </c>
      <c r="I874" s="2" t="str">
        <f t="shared" si="152"/>
        <v>4100401</v>
      </c>
      <c r="J874" s="2">
        <f>31400</f>
        <v>31400</v>
      </c>
      <c r="K874" s="2" t="str">
        <f t="shared" si="149"/>
        <v>脚</v>
      </c>
      <c r="L874" s="2" t="str">
        <f t="shared" si="153"/>
        <v>3630331</v>
      </c>
      <c r="M874" s="2" t="str">
        <f>""</f>
        <v/>
      </c>
    </row>
    <row r="875" spans="1:13" x14ac:dyDescent="0.15">
      <c r="A875" s="2" t="str">
        <f t="shared" si="147"/>
        <v>1881110500</v>
      </c>
      <c r="B875" s="2" t="str">
        <f t="shared" si="148"/>
        <v>佐伯・区政調整</v>
      </c>
      <c r="C875" s="2" t="str">
        <f t="shared" si="144"/>
        <v>01ｲ00311</v>
      </c>
      <c r="D875" s="2" t="str">
        <f t="shared" si="145"/>
        <v>肘掛椅子</v>
      </c>
      <c r="E875" s="3" t="str">
        <f t="shared" si="150"/>
        <v>肘付</v>
      </c>
      <c r="F875" s="2" t="str">
        <f t="shared" si="151"/>
        <v>０００１</v>
      </c>
      <c r="G875" s="2" t="str">
        <f>"3620003967"</f>
        <v>3620003967</v>
      </c>
      <c r="H875" s="2" t="str">
        <f t="shared" si="146"/>
        <v>001</v>
      </c>
      <c r="I875" s="2" t="str">
        <f t="shared" si="152"/>
        <v>4100401</v>
      </c>
      <c r="J875" s="2">
        <f>31400</f>
        <v>31400</v>
      </c>
      <c r="K875" s="2" t="str">
        <f t="shared" si="149"/>
        <v>脚</v>
      </c>
      <c r="L875" s="2" t="str">
        <f t="shared" si="153"/>
        <v>3630331</v>
      </c>
      <c r="M875" s="2" t="str">
        <f>""</f>
        <v/>
      </c>
    </row>
    <row r="876" spans="1:13" x14ac:dyDescent="0.15">
      <c r="A876" s="2" t="str">
        <f t="shared" si="147"/>
        <v>1881110500</v>
      </c>
      <c r="B876" s="2" t="str">
        <f t="shared" si="148"/>
        <v>佐伯・区政調整</v>
      </c>
      <c r="C876" s="2" t="str">
        <f t="shared" si="144"/>
        <v>01ｲ00311</v>
      </c>
      <c r="D876" s="2" t="str">
        <f t="shared" si="145"/>
        <v>肘掛椅子</v>
      </c>
      <c r="E876" s="3" t="str">
        <f t="shared" si="150"/>
        <v>肘付</v>
      </c>
      <c r="F876" s="2" t="str">
        <f t="shared" si="151"/>
        <v>０００１</v>
      </c>
      <c r="G876" s="2" t="str">
        <f>"3620003968"</f>
        <v>3620003968</v>
      </c>
      <c r="H876" s="2" t="str">
        <f t="shared" si="146"/>
        <v>001</v>
      </c>
      <c r="I876" s="2" t="str">
        <f t="shared" si="152"/>
        <v>4100401</v>
      </c>
      <c r="J876" s="2">
        <f>31400</f>
        <v>31400</v>
      </c>
      <c r="K876" s="2" t="str">
        <f t="shared" si="149"/>
        <v>脚</v>
      </c>
      <c r="L876" s="2" t="str">
        <f t="shared" si="153"/>
        <v>3630331</v>
      </c>
      <c r="M876" s="2" t="str">
        <f>""</f>
        <v/>
      </c>
    </row>
    <row r="877" spans="1:13" x14ac:dyDescent="0.15">
      <c r="A877" s="2" t="str">
        <f t="shared" si="147"/>
        <v>1881110500</v>
      </c>
      <c r="B877" s="2" t="str">
        <f t="shared" si="148"/>
        <v>佐伯・区政調整</v>
      </c>
      <c r="C877" s="2" t="str">
        <f t="shared" si="144"/>
        <v>01ｲ00311</v>
      </c>
      <c r="D877" s="2" t="str">
        <f t="shared" si="145"/>
        <v>肘掛椅子</v>
      </c>
      <c r="E877" s="3" t="str">
        <f t="shared" si="150"/>
        <v>肘付</v>
      </c>
      <c r="F877" s="2" t="str">
        <f t="shared" si="151"/>
        <v>０００１</v>
      </c>
      <c r="G877" s="2" t="str">
        <f>"3620003969"</f>
        <v>3620003969</v>
      </c>
      <c r="H877" s="2" t="str">
        <f t="shared" si="146"/>
        <v>001</v>
      </c>
      <c r="I877" s="2" t="str">
        <f t="shared" si="152"/>
        <v>4100401</v>
      </c>
      <c r="J877" s="2">
        <f>31400</f>
        <v>31400</v>
      </c>
      <c r="K877" s="2" t="str">
        <f t="shared" si="149"/>
        <v>脚</v>
      </c>
      <c r="L877" s="2" t="str">
        <f t="shared" si="153"/>
        <v>3630331</v>
      </c>
      <c r="M877" s="2" t="str">
        <f>""</f>
        <v/>
      </c>
    </row>
    <row r="878" spans="1:13" x14ac:dyDescent="0.15">
      <c r="A878" s="2" t="str">
        <f t="shared" si="147"/>
        <v>1881110500</v>
      </c>
      <c r="B878" s="2" t="str">
        <f t="shared" si="148"/>
        <v>佐伯・区政調整</v>
      </c>
      <c r="C878" s="2" t="str">
        <f t="shared" si="144"/>
        <v>01ｲ00311</v>
      </c>
      <c r="D878" s="2" t="str">
        <f t="shared" si="145"/>
        <v>肘掛椅子</v>
      </c>
      <c r="E878" s="3" t="str">
        <f t="shared" si="150"/>
        <v>肘付</v>
      </c>
      <c r="F878" s="2" t="str">
        <f t="shared" si="151"/>
        <v>０００１</v>
      </c>
      <c r="G878" s="2" t="str">
        <f>"3620003970"</f>
        <v>3620003970</v>
      </c>
      <c r="H878" s="2" t="str">
        <f t="shared" si="146"/>
        <v>001</v>
      </c>
      <c r="I878" s="2" t="str">
        <f t="shared" si="152"/>
        <v>4100401</v>
      </c>
      <c r="J878" s="2">
        <f>31400</f>
        <v>31400</v>
      </c>
      <c r="K878" s="2" t="str">
        <f t="shared" si="149"/>
        <v>脚</v>
      </c>
      <c r="L878" s="2" t="str">
        <f t="shared" si="153"/>
        <v>3630331</v>
      </c>
      <c r="M878" s="2" t="str">
        <f>""</f>
        <v/>
      </c>
    </row>
    <row r="879" spans="1:13" x14ac:dyDescent="0.15">
      <c r="A879" s="2" t="str">
        <f t="shared" si="147"/>
        <v>1881110500</v>
      </c>
      <c r="B879" s="2" t="str">
        <f t="shared" si="148"/>
        <v>佐伯・区政調整</v>
      </c>
      <c r="C879" s="2" t="str">
        <f t="shared" si="144"/>
        <v>01ｲ00311</v>
      </c>
      <c r="D879" s="2" t="str">
        <f t="shared" si="145"/>
        <v>肘掛椅子</v>
      </c>
      <c r="E879" s="3" t="str">
        <f t="shared" si="150"/>
        <v>肘付</v>
      </c>
      <c r="F879" s="2" t="str">
        <f t="shared" si="151"/>
        <v>０００１</v>
      </c>
      <c r="G879" s="2" t="str">
        <f>"3620003971"</f>
        <v>3620003971</v>
      </c>
      <c r="H879" s="2" t="str">
        <f t="shared" si="146"/>
        <v>001</v>
      </c>
      <c r="I879" s="2" t="str">
        <f t="shared" si="152"/>
        <v>4100401</v>
      </c>
      <c r="J879" s="2">
        <f>31400</f>
        <v>31400</v>
      </c>
      <c r="K879" s="2" t="str">
        <f t="shared" si="149"/>
        <v>脚</v>
      </c>
      <c r="L879" s="2" t="str">
        <f t="shared" si="153"/>
        <v>3630331</v>
      </c>
      <c r="M879" s="2" t="str">
        <f>""</f>
        <v/>
      </c>
    </row>
    <row r="880" spans="1:13" x14ac:dyDescent="0.15">
      <c r="A880" s="2" t="str">
        <f t="shared" si="147"/>
        <v>1881110500</v>
      </c>
      <c r="B880" s="2" t="str">
        <f t="shared" si="148"/>
        <v>佐伯・区政調整</v>
      </c>
      <c r="C880" s="2" t="str">
        <f t="shared" si="144"/>
        <v>01ｲ00311</v>
      </c>
      <c r="D880" s="2" t="str">
        <f t="shared" si="145"/>
        <v>肘掛椅子</v>
      </c>
      <c r="E880" s="3" t="str">
        <f t="shared" si="150"/>
        <v>肘付</v>
      </c>
      <c r="F880" s="2" t="str">
        <f t="shared" si="151"/>
        <v>０００１</v>
      </c>
      <c r="G880" s="2" t="str">
        <f>"3620003972"</f>
        <v>3620003972</v>
      </c>
      <c r="H880" s="2" t="str">
        <f t="shared" si="146"/>
        <v>001</v>
      </c>
      <c r="I880" s="2" t="str">
        <f t="shared" si="152"/>
        <v>4100401</v>
      </c>
      <c r="J880" s="2">
        <f>31400</f>
        <v>31400</v>
      </c>
      <c r="K880" s="2" t="str">
        <f t="shared" si="149"/>
        <v>脚</v>
      </c>
      <c r="L880" s="2" t="str">
        <f t="shared" si="153"/>
        <v>3630331</v>
      </c>
      <c r="M880" s="2" t="str">
        <f>""</f>
        <v/>
      </c>
    </row>
    <row r="881" spans="1:13" x14ac:dyDescent="0.15">
      <c r="A881" s="2" t="str">
        <f t="shared" si="147"/>
        <v>1881110500</v>
      </c>
      <c r="B881" s="2" t="str">
        <f t="shared" si="148"/>
        <v>佐伯・区政調整</v>
      </c>
      <c r="C881" s="2" t="str">
        <f t="shared" si="144"/>
        <v>01ｲ00311</v>
      </c>
      <c r="D881" s="2" t="str">
        <f t="shared" si="145"/>
        <v>肘掛椅子</v>
      </c>
      <c r="E881" s="3" t="str">
        <f t="shared" si="150"/>
        <v>肘付</v>
      </c>
      <c r="F881" s="2" t="str">
        <f t="shared" si="151"/>
        <v>０００１</v>
      </c>
      <c r="G881" s="2" t="str">
        <f>"3620003973"</f>
        <v>3620003973</v>
      </c>
      <c r="H881" s="2" t="str">
        <f t="shared" si="146"/>
        <v>001</v>
      </c>
      <c r="I881" s="2" t="str">
        <f t="shared" si="152"/>
        <v>4100401</v>
      </c>
      <c r="J881" s="2">
        <f>31400</f>
        <v>31400</v>
      </c>
      <c r="K881" s="2" t="str">
        <f t="shared" si="149"/>
        <v>脚</v>
      </c>
      <c r="L881" s="2" t="str">
        <f t="shared" si="153"/>
        <v>3630331</v>
      </c>
      <c r="M881" s="2" t="str">
        <f>""</f>
        <v/>
      </c>
    </row>
    <row r="882" spans="1:13" x14ac:dyDescent="0.15">
      <c r="A882" s="2" t="str">
        <f t="shared" si="147"/>
        <v>1881110500</v>
      </c>
      <c r="B882" s="2" t="str">
        <f t="shared" si="148"/>
        <v>佐伯・区政調整</v>
      </c>
      <c r="C882" s="2" t="str">
        <f t="shared" si="144"/>
        <v>01ｲ00311</v>
      </c>
      <c r="D882" s="2" t="str">
        <f t="shared" si="145"/>
        <v>肘掛椅子</v>
      </c>
      <c r="E882" s="3" t="str">
        <f t="shared" si="150"/>
        <v>肘付</v>
      </c>
      <c r="F882" s="2" t="str">
        <f t="shared" si="151"/>
        <v>０００１</v>
      </c>
      <c r="G882" s="2" t="str">
        <f>"3620003974"</f>
        <v>3620003974</v>
      </c>
      <c r="H882" s="2" t="str">
        <f t="shared" si="146"/>
        <v>001</v>
      </c>
      <c r="I882" s="2" t="str">
        <f t="shared" si="152"/>
        <v>4100401</v>
      </c>
      <c r="J882" s="2">
        <f>31400</f>
        <v>31400</v>
      </c>
      <c r="K882" s="2" t="str">
        <f t="shared" si="149"/>
        <v>脚</v>
      </c>
      <c r="L882" s="2" t="str">
        <f t="shared" si="153"/>
        <v>3630331</v>
      </c>
      <c r="M882" s="2" t="str">
        <f>""</f>
        <v/>
      </c>
    </row>
    <row r="883" spans="1:13" x14ac:dyDescent="0.15">
      <c r="A883" s="2" t="str">
        <f t="shared" si="147"/>
        <v>1881110500</v>
      </c>
      <c r="B883" s="2" t="str">
        <f t="shared" si="148"/>
        <v>佐伯・区政調整</v>
      </c>
      <c r="C883" s="2" t="str">
        <f t="shared" si="144"/>
        <v>01ｲ00311</v>
      </c>
      <c r="D883" s="2" t="str">
        <f t="shared" si="145"/>
        <v>肘掛椅子</v>
      </c>
      <c r="E883" s="3" t="str">
        <f t="shared" si="150"/>
        <v>肘付</v>
      </c>
      <c r="F883" s="2" t="str">
        <f t="shared" si="151"/>
        <v>０００１</v>
      </c>
      <c r="G883" s="2" t="str">
        <f>"3620003975"</f>
        <v>3620003975</v>
      </c>
      <c r="H883" s="2" t="str">
        <f t="shared" si="146"/>
        <v>001</v>
      </c>
      <c r="I883" s="2" t="str">
        <f t="shared" si="152"/>
        <v>4100401</v>
      </c>
      <c r="J883" s="2">
        <f>31400</f>
        <v>31400</v>
      </c>
      <c r="K883" s="2" t="str">
        <f t="shared" si="149"/>
        <v>脚</v>
      </c>
      <c r="L883" s="2" t="str">
        <f t="shared" si="153"/>
        <v>3630331</v>
      </c>
      <c r="M883" s="2" t="str">
        <f>""</f>
        <v/>
      </c>
    </row>
    <row r="884" spans="1:13" x14ac:dyDescent="0.15">
      <c r="A884" s="2" t="str">
        <f t="shared" si="147"/>
        <v>1881110500</v>
      </c>
      <c r="B884" s="2" t="str">
        <f t="shared" si="148"/>
        <v>佐伯・区政調整</v>
      </c>
      <c r="C884" s="2" t="str">
        <f t="shared" si="144"/>
        <v>01ｲ00311</v>
      </c>
      <c r="D884" s="2" t="str">
        <f t="shared" si="145"/>
        <v>肘掛椅子</v>
      </c>
      <c r="E884" s="3" t="str">
        <f t="shared" si="150"/>
        <v>肘付</v>
      </c>
      <c r="F884" s="2" t="str">
        <f t="shared" si="151"/>
        <v>０００１</v>
      </c>
      <c r="G884" s="2" t="str">
        <f>"3620003976"</f>
        <v>3620003976</v>
      </c>
      <c r="H884" s="2" t="str">
        <f t="shared" si="146"/>
        <v>001</v>
      </c>
      <c r="I884" s="2" t="str">
        <f t="shared" si="152"/>
        <v>4100401</v>
      </c>
      <c r="J884" s="2">
        <f>31400</f>
        <v>31400</v>
      </c>
      <c r="K884" s="2" t="str">
        <f t="shared" si="149"/>
        <v>脚</v>
      </c>
      <c r="L884" s="2" t="str">
        <f t="shared" si="153"/>
        <v>3630331</v>
      </c>
      <c r="M884" s="2" t="str">
        <f>""</f>
        <v/>
      </c>
    </row>
    <row r="885" spans="1:13" x14ac:dyDescent="0.15">
      <c r="A885" s="2" t="str">
        <f t="shared" si="147"/>
        <v>1881110500</v>
      </c>
      <c r="B885" s="2" t="str">
        <f t="shared" si="148"/>
        <v>佐伯・区政調整</v>
      </c>
      <c r="C885" s="2" t="str">
        <f t="shared" si="144"/>
        <v>01ｲ00311</v>
      </c>
      <c r="D885" s="2" t="str">
        <f t="shared" si="145"/>
        <v>肘掛椅子</v>
      </c>
      <c r="E885" s="3" t="str">
        <f t="shared" si="150"/>
        <v>肘付</v>
      </c>
      <c r="F885" s="2" t="str">
        <f t="shared" si="151"/>
        <v>０００１</v>
      </c>
      <c r="G885" s="2" t="str">
        <f>"3620003977"</f>
        <v>3620003977</v>
      </c>
      <c r="H885" s="2" t="str">
        <f t="shared" si="146"/>
        <v>001</v>
      </c>
      <c r="I885" s="2" t="str">
        <f t="shared" si="152"/>
        <v>4100401</v>
      </c>
      <c r="J885" s="2">
        <f>31400</f>
        <v>31400</v>
      </c>
      <c r="K885" s="2" t="str">
        <f t="shared" si="149"/>
        <v>脚</v>
      </c>
      <c r="L885" s="2" t="str">
        <f t="shared" si="153"/>
        <v>3630331</v>
      </c>
      <c r="M885" s="2" t="str">
        <f>""</f>
        <v/>
      </c>
    </row>
    <row r="886" spans="1:13" x14ac:dyDescent="0.15">
      <c r="A886" s="2" t="str">
        <f t="shared" si="147"/>
        <v>1881110500</v>
      </c>
      <c r="B886" s="2" t="str">
        <f t="shared" si="148"/>
        <v>佐伯・区政調整</v>
      </c>
      <c r="C886" s="2" t="str">
        <f t="shared" si="144"/>
        <v>01ｲ00311</v>
      </c>
      <c r="D886" s="2" t="str">
        <f t="shared" si="145"/>
        <v>肘掛椅子</v>
      </c>
      <c r="E886" s="3" t="str">
        <f t="shared" si="150"/>
        <v>肘付</v>
      </c>
      <c r="F886" s="2" t="str">
        <f t="shared" si="151"/>
        <v>０００１</v>
      </c>
      <c r="G886" s="2" t="str">
        <f>"3620003978"</f>
        <v>3620003978</v>
      </c>
      <c r="H886" s="2" t="str">
        <f t="shared" si="146"/>
        <v>001</v>
      </c>
      <c r="I886" s="2" t="str">
        <f t="shared" si="152"/>
        <v>4100401</v>
      </c>
      <c r="J886" s="2">
        <f>31400</f>
        <v>31400</v>
      </c>
      <c r="K886" s="2" t="str">
        <f t="shared" si="149"/>
        <v>脚</v>
      </c>
      <c r="L886" s="2" t="str">
        <f t="shared" si="153"/>
        <v>3630331</v>
      </c>
      <c r="M886" s="2" t="str">
        <f>""</f>
        <v/>
      </c>
    </row>
    <row r="887" spans="1:13" x14ac:dyDescent="0.15">
      <c r="A887" s="2" t="str">
        <f t="shared" si="147"/>
        <v>1881110500</v>
      </c>
      <c r="B887" s="2" t="str">
        <f t="shared" si="148"/>
        <v>佐伯・区政調整</v>
      </c>
      <c r="C887" s="2" t="str">
        <f t="shared" si="144"/>
        <v>01ｲ00311</v>
      </c>
      <c r="D887" s="2" t="str">
        <f t="shared" si="145"/>
        <v>肘掛椅子</v>
      </c>
      <c r="E887" s="3" t="str">
        <f t="shared" si="150"/>
        <v>肘付</v>
      </c>
      <c r="F887" s="2" t="str">
        <f t="shared" si="151"/>
        <v>０００１</v>
      </c>
      <c r="G887" s="2" t="str">
        <f>"3620003979"</f>
        <v>3620003979</v>
      </c>
      <c r="H887" s="2" t="str">
        <f t="shared" si="146"/>
        <v>001</v>
      </c>
      <c r="I887" s="2" t="str">
        <f t="shared" si="152"/>
        <v>4100401</v>
      </c>
      <c r="J887" s="2">
        <f>31400</f>
        <v>31400</v>
      </c>
      <c r="K887" s="2" t="str">
        <f t="shared" si="149"/>
        <v>脚</v>
      </c>
      <c r="L887" s="2" t="str">
        <f t="shared" si="153"/>
        <v>3630331</v>
      </c>
      <c r="M887" s="2" t="str">
        <f>""</f>
        <v/>
      </c>
    </row>
    <row r="888" spans="1:13" x14ac:dyDescent="0.15">
      <c r="A888" s="2" t="str">
        <f t="shared" si="147"/>
        <v>1881110500</v>
      </c>
      <c r="B888" s="2" t="str">
        <f t="shared" si="148"/>
        <v>佐伯・区政調整</v>
      </c>
      <c r="C888" s="2" t="str">
        <f t="shared" si="144"/>
        <v>01ｲ00311</v>
      </c>
      <c r="D888" s="2" t="str">
        <f t="shared" si="145"/>
        <v>肘掛椅子</v>
      </c>
      <c r="E888" s="3" t="str">
        <f t="shared" si="150"/>
        <v>肘付</v>
      </c>
      <c r="F888" s="2" t="str">
        <f t="shared" si="151"/>
        <v>０００１</v>
      </c>
      <c r="G888" s="2" t="str">
        <f>"3620003980"</f>
        <v>3620003980</v>
      </c>
      <c r="H888" s="2" t="str">
        <f t="shared" si="146"/>
        <v>001</v>
      </c>
      <c r="I888" s="2" t="str">
        <f t="shared" si="152"/>
        <v>4100401</v>
      </c>
      <c r="J888" s="2">
        <f>31400</f>
        <v>31400</v>
      </c>
      <c r="K888" s="2" t="str">
        <f t="shared" si="149"/>
        <v>脚</v>
      </c>
      <c r="L888" s="2" t="str">
        <f t="shared" si="153"/>
        <v>3630331</v>
      </c>
      <c r="M888" s="2" t="str">
        <f>""</f>
        <v/>
      </c>
    </row>
    <row r="889" spans="1:13" x14ac:dyDescent="0.15">
      <c r="A889" s="2" t="str">
        <f t="shared" si="147"/>
        <v>1881110500</v>
      </c>
      <c r="B889" s="2" t="str">
        <f t="shared" si="148"/>
        <v>佐伯・区政調整</v>
      </c>
      <c r="C889" s="2" t="str">
        <f t="shared" si="144"/>
        <v>01ｲ00311</v>
      </c>
      <c r="D889" s="2" t="str">
        <f t="shared" si="145"/>
        <v>肘掛椅子</v>
      </c>
      <c r="E889" s="3" t="str">
        <f t="shared" si="150"/>
        <v>肘付</v>
      </c>
      <c r="F889" s="2" t="str">
        <f t="shared" si="151"/>
        <v>０００１</v>
      </c>
      <c r="G889" s="2" t="str">
        <f>"3620003981"</f>
        <v>3620003981</v>
      </c>
      <c r="H889" s="2" t="str">
        <f t="shared" si="146"/>
        <v>001</v>
      </c>
      <c r="I889" s="2" t="str">
        <f t="shared" si="152"/>
        <v>4100401</v>
      </c>
      <c r="J889" s="2">
        <f>40800</f>
        <v>40800</v>
      </c>
      <c r="K889" s="2" t="str">
        <f t="shared" si="149"/>
        <v>脚</v>
      </c>
      <c r="L889" s="2" t="str">
        <f t="shared" si="153"/>
        <v>3630331</v>
      </c>
      <c r="M889" s="2" t="str">
        <f>""</f>
        <v/>
      </c>
    </row>
    <row r="890" spans="1:13" x14ac:dyDescent="0.15">
      <c r="A890" s="2" t="str">
        <f t="shared" si="147"/>
        <v>1881110500</v>
      </c>
      <c r="B890" s="2" t="str">
        <f t="shared" si="148"/>
        <v>佐伯・区政調整</v>
      </c>
      <c r="C890" s="2" t="str">
        <f t="shared" si="144"/>
        <v>01ｲ00311</v>
      </c>
      <c r="D890" s="2" t="str">
        <f t="shared" si="145"/>
        <v>肘掛椅子</v>
      </c>
      <c r="E890" s="3" t="str">
        <f t="shared" si="150"/>
        <v>肘付</v>
      </c>
      <c r="F890" s="2" t="str">
        <f t="shared" si="151"/>
        <v>０００１</v>
      </c>
      <c r="G890" s="2" t="str">
        <f>"3620003982"</f>
        <v>3620003982</v>
      </c>
      <c r="H890" s="2" t="str">
        <f t="shared" si="146"/>
        <v>001</v>
      </c>
      <c r="I890" s="2" t="str">
        <f t="shared" si="152"/>
        <v>4100401</v>
      </c>
      <c r="J890" s="2">
        <f>40800</f>
        <v>40800</v>
      </c>
      <c r="K890" s="2" t="str">
        <f t="shared" si="149"/>
        <v>脚</v>
      </c>
      <c r="L890" s="2" t="str">
        <f t="shared" si="153"/>
        <v>3630331</v>
      </c>
      <c r="M890" s="2" t="str">
        <f>""</f>
        <v/>
      </c>
    </row>
    <row r="891" spans="1:13" x14ac:dyDescent="0.15">
      <c r="A891" s="2" t="str">
        <f t="shared" si="147"/>
        <v>1881110500</v>
      </c>
      <c r="B891" s="2" t="str">
        <f t="shared" si="148"/>
        <v>佐伯・区政調整</v>
      </c>
      <c r="C891" s="2" t="str">
        <f t="shared" si="144"/>
        <v>01ｲ00311</v>
      </c>
      <c r="D891" s="2" t="str">
        <f t="shared" si="145"/>
        <v>肘掛椅子</v>
      </c>
      <c r="E891" s="3" t="str">
        <f t="shared" si="150"/>
        <v>肘付</v>
      </c>
      <c r="F891" s="2" t="str">
        <f t="shared" si="151"/>
        <v>０００１</v>
      </c>
      <c r="G891" s="2" t="str">
        <f>"3620003983"</f>
        <v>3620003983</v>
      </c>
      <c r="H891" s="2" t="str">
        <f t="shared" si="146"/>
        <v>001</v>
      </c>
      <c r="I891" s="2" t="str">
        <f t="shared" si="152"/>
        <v>4100401</v>
      </c>
      <c r="J891" s="2">
        <f>40800</f>
        <v>40800</v>
      </c>
      <c r="K891" s="2" t="str">
        <f t="shared" si="149"/>
        <v>脚</v>
      </c>
      <c r="L891" s="2" t="str">
        <f t="shared" si="153"/>
        <v>3630331</v>
      </c>
      <c r="M891" s="2" t="str">
        <f>""</f>
        <v/>
      </c>
    </row>
    <row r="892" spans="1:13" x14ac:dyDescent="0.15">
      <c r="A892" s="2" t="str">
        <f t="shared" si="147"/>
        <v>1881110500</v>
      </c>
      <c r="B892" s="2" t="str">
        <f t="shared" si="148"/>
        <v>佐伯・区政調整</v>
      </c>
      <c r="C892" s="2" t="str">
        <f t="shared" si="144"/>
        <v>01ｲ00311</v>
      </c>
      <c r="D892" s="2" t="str">
        <f t="shared" si="145"/>
        <v>肘掛椅子</v>
      </c>
      <c r="E892" s="3" t="str">
        <f t="shared" si="150"/>
        <v>肘付</v>
      </c>
      <c r="F892" s="2" t="str">
        <f t="shared" si="151"/>
        <v>０００１</v>
      </c>
      <c r="G892" s="2" t="str">
        <f>"3620003984"</f>
        <v>3620003984</v>
      </c>
      <c r="H892" s="2" t="str">
        <f t="shared" si="146"/>
        <v>001</v>
      </c>
      <c r="I892" s="2" t="str">
        <f t="shared" si="152"/>
        <v>4100401</v>
      </c>
      <c r="J892" s="2">
        <f>40800</f>
        <v>40800</v>
      </c>
      <c r="K892" s="2" t="str">
        <f t="shared" si="149"/>
        <v>脚</v>
      </c>
      <c r="L892" s="2" t="str">
        <f t="shared" si="153"/>
        <v>3630331</v>
      </c>
      <c r="M892" s="2" t="str">
        <f>""</f>
        <v/>
      </c>
    </row>
    <row r="893" spans="1:13" x14ac:dyDescent="0.15">
      <c r="A893" s="2" t="str">
        <f t="shared" si="147"/>
        <v>1881110500</v>
      </c>
      <c r="B893" s="2" t="str">
        <f t="shared" si="148"/>
        <v>佐伯・区政調整</v>
      </c>
      <c r="C893" s="2" t="str">
        <f t="shared" si="144"/>
        <v>01ｲ00311</v>
      </c>
      <c r="D893" s="2" t="str">
        <f t="shared" si="145"/>
        <v>肘掛椅子</v>
      </c>
      <c r="E893" s="3" t="str">
        <f t="shared" si="150"/>
        <v>肘付</v>
      </c>
      <c r="F893" s="2" t="str">
        <f t="shared" si="151"/>
        <v>０００１</v>
      </c>
      <c r="G893" s="2" t="str">
        <f>"3620003985"</f>
        <v>3620003985</v>
      </c>
      <c r="H893" s="2" t="str">
        <f t="shared" si="146"/>
        <v>001</v>
      </c>
      <c r="I893" s="2" t="str">
        <f t="shared" si="152"/>
        <v>4100401</v>
      </c>
      <c r="J893" s="2">
        <f>40800</f>
        <v>40800</v>
      </c>
      <c r="K893" s="2" t="str">
        <f t="shared" si="149"/>
        <v>脚</v>
      </c>
      <c r="L893" s="2" t="str">
        <f t="shared" si="153"/>
        <v>3630331</v>
      </c>
      <c r="M893" s="2" t="str">
        <f>""</f>
        <v/>
      </c>
    </row>
    <row r="894" spans="1:13" x14ac:dyDescent="0.15">
      <c r="A894" s="2" t="str">
        <f t="shared" si="147"/>
        <v>1881110500</v>
      </c>
      <c r="B894" s="2" t="str">
        <f t="shared" si="148"/>
        <v>佐伯・区政調整</v>
      </c>
      <c r="C894" s="2" t="str">
        <f t="shared" si="144"/>
        <v>01ｲ00311</v>
      </c>
      <c r="D894" s="2" t="str">
        <f t="shared" si="145"/>
        <v>肘掛椅子</v>
      </c>
      <c r="E894" s="3" t="str">
        <f t="shared" si="150"/>
        <v>肘付</v>
      </c>
      <c r="F894" s="2" t="str">
        <f t="shared" si="151"/>
        <v>０００１</v>
      </c>
      <c r="G894" s="2" t="str">
        <f>"3620003986"</f>
        <v>3620003986</v>
      </c>
      <c r="H894" s="2" t="str">
        <f t="shared" si="146"/>
        <v>001</v>
      </c>
      <c r="I894" s="2" t="str">
        <f t="shared" si="152"/>
        <v>4100401</v>
      </c>
      <c r="J894" s="2">
        <f>40800</f>
        <v>40800</v>
      </c>
      <c r="K894" s="2" t="str">
        <f t="shared" si="149"/>
        <v>脚</v>
      </c>
      <c r="L894" s="2" t="str">
        <f t="shared" si="153"/>
        <v>3630331</v>
      </c>
      <c r="M894" s="2" t="str">
        <f>""</f>
        <v/>
      </c>
    </row>
    <row r="895" spans="1:13" x14ac:dyDescent="0.15">
      <c r="A895" s="2" t="str">
        <f t="shared" si="147"/>
        <v>1881110500</v>
      </c>
      <c r="B895" s="2" t="str">
        <f t="shared" si="148"/>
        <v>佐伯・区政調整</v>
      </c>
      <c r="C895" s="2" t="str">
        <f t="shared" si="144"/>
        <v>01ｲ00311</v>
      </c>
      <c r="D895" s="2" t="str">
        <f t="shared" si="145"/>
        <v>肘掛椅子</v>
      </c>
      <c r="E895" s="3" t="str">
        <f t="shared" si="150"/>
        <v>肘付</v>
      </c>
      <c r="F895" s="2" t="str">
        <f t="shared" si="151"/>
        <v>０００１</v>
      </c>
      <c r="G895" s="2" t="str">
        <f>"3620003987"</f>
        <v>3620003987</v>
      </c>
      <c r="H895" s="2" t="str">
        <f t="shared" si="146"/>
        <v>001</v>
      </c>
      <c r="I895" s="2" t="str">
        <f t="shared" si="152"/>
        <v>4100401</v>
      </c>
      <c r="J895" s="2">
        <f>40800</f>
        <v>40800</v>
      </c>
      <c r="K895" s="2" t="str">
        <f t="shared" si="149"/>
        <v>脚</v>
      </c>
      <c r="L895" s="2" t="str">
        <f t="shared" si="153"/>
        <v>3630331</v>
      </c>
      <c r="M895" s="2" t="str">
        <f>""</f>
        <v/>
      </c>
    </row>
    <row r="896" spans="1:13" x14ac:dyDescent="0.15">
      <c r="A896" s="2" t="str">
        <f t="shared" si="147"/>
        <v>1881110500</v>
      </c>
      <c r="B896" s="2" t="str">
        <f t="shared" si="148"/>
        <v>佐伯・区政調整</v>
      </c>
      <c r="C896" s="2" t="str">
        <f t="shared" si="144"/>
        <v>01ｲ00311</v>
      </c>
      <c r="D896" s="2" t="str">
        <f t="shared" si="145"/>
        <v>肘掛椅子</v>
      </c>
      <c r="E896" s="3" t="str">
        <f t="shared" si="150"/>
        <v>肘付</v>
      </c>
      <c r="F896" s="2" t="str">
        <f t="shared" si="151"/>
        <v>０００１</v>
      </c>
      <c r="G896" s="2" t="str">
        <f>"3620003988"</f>
        <v>3620003988</v>
      </c>
      <c r="H896" s="2" t="str">
        <f t="shared" si="146"/>
        <v>001</v>
      </c>
      <c r="I896" s="2" t="str">
        <f t="shared" si="152"/>
        <v>4100401</v>
      </c>
      <c r="J896" s="2">
        <f>40800</f>
        <v>40800</v>
      </c>
      <c r="K896" s="2" t="str">
        <f t="shared" si="149"/>
        <v>脚</v>
      </c>
      <c r="L896" s="2" t="str">
        <f t="shared" si="153"/>
        <v>3630331</v>
      </c>
      <c r="M896" s="2" t="str">
        <f>""</f>
        <v/>
      </c>
    </row>
    <row r="897" spans="1:13" x14ac:dyDescent="0.15">
      <c r="A897" s="2" t="str">
        <f t="shared" si="147"/>
        <v>1881110500</v>
      </c>
      <c r="B897" s="2" t="str">
        <f t="shared" si="148"/>
        <v>佐伯・区政調整</v>
      </c>
      <c r="C897" s="2" t="str">
        <f t="shared" si="144"/>
        <v>01ｲ00311</v>
      </c>
      <c r="D897" s="2" t="str">
        <f t="shared" si="145"/>
        <v>肘掛椅子</v>
      </c>
      <c r="E897" s="3" t="str">
        <f t="shared" si="150"/>
        <v>肘付</v>
      </c>
      <c r="F897" s="2" t="str">
        <f t="shared" si="151"/>
        <v>０００１</v>
      </c>
      <c r="G897" s="2" t="str">
        <f>"3620003989"</f>
        <v>3620003989</v>
      </c>
      <c r="H897" s="2" t="str">
        <f t="shared" si="146"/>
        <v>001</v>
      </c>
      <c r="I897" s="2" t="str">
        <f t="shared" si="152"/>
        <v>4100401</v>
      </c>
      <c r="J897" s="2">
        <f>40800</f>
        <v>40800</v>
      </c>
      <c r="K897" s="2" t="str">
        <f t="shared" si="149"/>
        <v>脚</v>
      </c>
      <c r="L897" s="2" t="str">
        <f t="shared" si="153"/>
        <v>3630331</v>
      </c>
      <c r="M897" s="2" t="str">
        <f>""</f>
        <v/>
      </c>
    </row>
    <row r="898" spans="1:13" x14ac:dyDescent="0.15">
      <c r="A898" s="2" t="str">
        <f t="shared" si="147"/>
        <v>1881110500</v>
      </c>
      <c r="B898" s="2" t="str">
        <f t="shared" si="148"/>
        <v>佐伯・区政調整</v>
      </c>
      <c r="C898" s="2" t="str">
        <f t="shared" si="144"/>
        <v>01ｲ00311</v>
      </c>
      <c r="D898" s="2" t="str">
        <f t="shared" si="145"/>
        <v>肘掛椅子</v>
      </c>
      <c r="E898" s="3" t="str">
        <f t="shared" si="150"/>
        <v>肘付</v>
      </c>
      <c r="F898" s="2" t="str">
        <f t="shared" si="151"/>
        <v>０００１</v>
      </c>
      <c r="G898" s="2" t="str">
        <f>"3620003990"</f>
        <v>3620003990</v>
      </c>
      <c r="H898" s="2" t="str">
        <f t="shared" si="146"/>
        <v>001</v>
      </c>
      <c r="I898" s="2" t="str">
        <f t="shared" si="152"/>
        <v>4100401</v>
      </c>
      <c r="J898" s="2">
        <f>40800</f>
        <v>40800</v>
      </c>
      <c r="K898" s="2" t="str">
        <f t="shared" si="149"/>
        <v>脚</v>
      </c>
      <c r="L898" s="2" t="str">
        <f t="shared" si="153"/>
        <v>3630331</v>
      </c>
      <c r="M898" s="2" t="str">
        <f>""</f>
        <v/>
      </c>
    </row>
    <row r="899" spans="1:13" x14ac:dyDescent="0.15">
      <c r="A899" s="2" t="str">
        <f t="shared" si="147"/>
        <v>1881110500</v>
      </c>
      <c r="B899" s="2" t="str">
        <f t="shared" si="148"/>
        <v>佐伯・区政調整</v>
      </c>
      <c r="C899" s="2" t="str">
        <f t="shared" si="144"/>
        <v>01ｲ00311</v>
      </c>
      <c r="D899" s="2" t="str">
        <f t="shared" si="145"/>
        <v>肘掛椅子</v>
      </c>
      <c r="E899" s="3" t="str">
        <f t="shared" si="150"/>
        <v>肘付</v>
      </c>
      <c r="F899" s="2" t="str">
        <f t="shared" si="151"/>
        <v>０００１</v>
      </c>
      <c r="G899" s="2" t="str">
        <f>"3620003992"</f>
        <v>3620003992</v>
      </c>
      <c r="H899" s="2" t="str">
        <f t="shared" si="146"/>
        <v>001</v>
      </c>
      <c r="I899" s="2" t="str">
        <f t="shared" si="152"/>
        <v>4100401</v>
      </c>
      <c r="J899" s="2">
        <f>40800</f>
        <v>40800</v>
      </c>
      <c r="K899" s="2" t="str">
        <f t="shared" si="149"/>
        <v>脚</v>
      </c>
      <c r="L899" s="2" t="str">
        <f t="shared" si="153"/>
        <v>3630331</v>
      </c>
      <c r="M899" s="2" t="str">
        <f>""</f>
        <v/>
      </c>
    </row>
    <row r="900" spans="1:13" x14ac:dyDescent="0.15">
      <c r="A900" s="2" t="str">
        <f t="shared" ref="A900:A905" si="154">"1881110500"</f>
        <v>1881110500</v>
      </c>
      <c r="B900" s="2" t="str">
        <f t="shared" ref="B900:B905" si="155">"佐伯・区政調整"</f>
        <v>佐伯・区政調整</v>
      </c>
      <c r="C900" s="2" t="str">
        <f>"01ｲ00401"</f>
        <v>01ｲ00401</v>
      </c>
      <c r="D900" s="2" t="str">
        <f>"印刷機"</f>
        <v>印刷機</v>
      </c>
      <c r="E900" s="3" t="str">
        <f>"ＯＲＰＨＩＳ"</f>
        <v>ＯＲＰＨＩＳ</v>
      </c>
      <c r="F900" s="2" t="str">
        <f>"佐伯区民文化センター"</f>
        <v>佐伯区民文化センター</v>
      </c>
      <c r="G900" s="2" t="str">
        <f>"4250005558"</f>
        <v>4250005558</v>
      </c>
      <c r="H900" s="2" t="str">
        <f t="shared" ref="H900:H932" si="156">"001"</f>
        <v>001</v>
      </c>
      <c r="I900" s="2" t="str">
        <f>"4260318"</f>
        <v>4260318</v>
      </c>
      <c r="J900" s="2">
        <f>2971500</f>
        <v>2971500</v>
      </c>
      <c r="K900" s="2" t="str">
        <f>"台"</f>
        <v>台</v>
      </c>
      <c r="L900" s="2" t="str">
        <f>"4260318"</f>
        <v>4260318</v>
      </c>
      <c r="M900" s="2" t="str">
        <f>"4260318"</f>
        <v>4260318</v>
      </c>
    </row>
    <row r="901" spans="1:13" x14ac:dyDescent="0.15">
      <c r="A901" s="2" t="str">
        <f t="shared" si="154"/>
        <v>1881110500</v>
      </c>
      <c r="B901" s="2" t="str">
        <f t="shared" si="155"/>
        <v>佐伯・区政調整</v>
      </c>
      <c r="C901" s="2" t="str">
        <f t="shared" ref="C901:C905" si="157">"01ｴ00101"</f>
        <v>01ｴ00101</v>
      </c>
      <c r="D901" s="2" t="str">
        <f t="shared" ref="D901:D905" si="158">"演台"</f>
        <v>演台</v>
      </c>
      <c r="E901" s="3" t="str">
        <f>"木製"</f>
        <v>木製</v>
      </c>
      <c r="F901" s="2" t="str">
        <f t="shared" ref="F901:F907" si="159">"０００１"</f>
        <v>０００１</v>
      </c>
      <c r="G901" s="2" t="str">
        <f>"3620003993"</f>
        <v>3620003993</v>
      </c>
      <c r="H901" s="2" t="str">
        <f t="shared" si="156"/>
        <v>001</v>
      </c>
      <c r="I901" s="2" t="str">
        <f>"4100401"</f>
        <v>4100401</v>
      </c>
      <c r="J901" s="2">
        <f>97000</f>
        <v>97000</v>
      </c>
      <c r="K901" s="2" t="str">
        <f t="shared" ref="K901:K905" si="160">"脚"</f>
        <v>脚</v>
      </c>
      <c r="L901" s="2" t="str">
        <f>"3630331"</f>
        <v>3630331</v>
      </c>
      <c r="M901" s="2" t="str">
        <f>""</f>
        <v/>
      </c>
    </row>
    <row r="902" spans="1:13" x14ac:dyDescent="0.15">
      <c r="A902" s="2" t="str">
        <f t="shared" si="154"/>
        <v>1881110500</v>
      </c>
      <c r="B902" s="2" t="str">
        <f t="shared" si="155"/>
        <v>佐伯・区政調整</v>
      </c>
      <c r="C902" s="2" t="str">
        <f t="shared" si="157"/>
        <v>01ｴ00101</v>
      </c>
      <c r="D902" s="2" t="str">
        <f t="shared" si="158"/>
        <v>演台</v>
      </c>
      <c r="E902" s="3" t="str">
        <f>"司会者用"</f>
        <v>司会者用</v>
      </c>
      <c r="F902" s="2" t="str">
        <f t="shared" si="159"/>
        <v>０００１</v>
      </c>
      <c r="G902" s="2" t="str">
        <f>"3620003994"</f>
        <v>3620003994</v>
      </c>
      <c r="H902" s="2" t="str">
        <f t="shared" si="156"/>
        <v>001</v>
      </c>
      <c r="I902" s="2" t="str">
        <f>"4100401"</f>
        <v>4100401</v>
      </c>
      <c r="J902" s="2">
        <f>47000</f>
        <v>47000</v>
      </c>
      <c r="K902" s="2" t="str">
        <f t="shared" si="160"/>
        <v>脚</v>
      </c>
      <c r="L902" s="2" t="str">
        <f>"3630331"</f>
        <v>3630331</v>
      </c>
      <c r="M902" s="2" t="str">
        <f>""</f>
        <v/>
      </c>
    </row>
    <row r="903" spans="1:13" x14ac:dyDescent="0.15">
      <c r="A903" s="2" t="str">
        <f t="shared" si="154"/>
        <v>1881110500</v>
      </c>
      <c r="B903" s="2" t="str">
        <f t="shared" si="155"/>
        <v>佐伯・区政調整</v>
      </c>
      <c r="C903" s="2" t="str">
        <f t="shared" si="157"/>
        <v>01ｴ00101</v>
      </c>
      <c r="D903" s="2" t="str">
        <f t="shared" si="158"/>
        <v>演台</v>
      </c>
      <c r="E903" s="3" t="str">
        <f>"ＫＯＫＵＹＯ　ＷＡ－１２Ｒ"</f>
        <v>ＫＯＫＵＹＯ　ＷＡ－１２Ｒ</v>
      </c>
      <c r="F903" s="2" t="str">
        <f t="shared" si="159"/>
        <v>０００１</v>
      </c>
      <c r="G903" s="2" t="str">
        <f>"4220004549"</f>
        <v>4220004549</v>
      </c>
      <c r="H903" s="2" t="str">
        <f t="shared" si="156"/>
        <v>001</v>
      </c>
      <c r="I903" s="2" t="str">
        <f>"4230316"</f>
        <v>4230316</v>
      </c>
      <c r="J903" s="2">
        <f>105800</f>
        <v>105800</v>
      </c>
      <c r="K903" s="2" t="str">
        <f t="shared" si="160"/>
        <v>脚</v>
      </c>
      <c r="L903" s="2" t="str">
        <f>"4230316"</f>
        <v>4230316</v>
      </c>
      <c r="M903" s="2" t="str">
        <f>"4230316"</f>
        <v>4230316</v>
      </c>
    </row>
    <row r="904" spans="1:13" x14ac:dyDescent="0.15">
      <c r="A904" s="2" t="str">
        <f t="shared" si="154"/>
        <v>1881110500</v>
      </c>
      <c r="B904" s="2" t="str">
        <f t="shared" si="155"/>
        <v>佐伯・区政調整</v>
      </c>
      <c r="C904" s="2" t="str">
        <f t="shared" si="157"/>
        <v>01ｴ00101</v>
      </c>
      <c r="D904" s="2" t="str">
        <f t="shared" si="158"/>
        <v>演台</v>
      </c>
      <c r="E904" s="3" t="str">
        <f>"ＫＯＫＵＹＯ　ＷＡ－１２Ｒ"</f>
        <v>ＫＯＫＵＹＯ　ＷＡ－１２Ｒ</v>
      </c>
      <c r="F904" s="2" t="str">
        <f t="shared" si="159"/>
        <v>０００１</v>
      </c>
      <c r="G904" s="2" t="str">
        <f>"4220004550"</f>
        <v>4220004550</v>
      </c>
      <c r="H904" s="2" t="str">
        <f t="shared" si="156"/>
        <v>001</v>
      </c>
      <c r="I904" s="2" t="str">
        <f>"4230316"</f>
        <v>4230316</v>
      </c>
      <c r="J904" s="2">
        <f>105800</f>
        <v>105800</v>
      </c>
      <c r="K904" s="2" t="str">
        <f t="shared" si="160"/>
        <v>脚</v>
      </c>
      <c r="L904" s="2" t="str">
        <f>"4230316"</f>
        <v>4230316</v>
      </c>
      <c r="M904" s="2" t="str">
        <f>"4230316"</f>
        <v>4230316</v>
      </c>
    </row>
    <row r="905" spans="1:13" x14ac:dyDescent="0.15">
      <c r="A905" s="2" t="str">
        <f t="shared" si="154"/>
        <v>1881110500</v>
      </c>
      <c r="B905" s="2" t="str">
        <f t="shared" si="155"/>
        <v>佐伯・区政調整</v>
      </c>
      <c r="C905" s="2" t="str">
        <f t="shared" si="157"/>
        <v>01ｴ00101</v>
      </c>
      <c r="D905" s="2" t="str">
        <f t="shared" si="158"/>
        <v>演台</v>
      </c>
      <c r="E905" s="3" t="str">
        <f>"ＡＥＤ－２０４　ローズ"</f>
        <v>ＡＥＤ－２０４　ローズ</v>
      </c>
      <c r="F905" s="2" t="str">
        <f t="shared" si="159"/>
        <v>０００１</v>
      </c>
      <c r="G905" s="2" t="str">
        <f>"4230003760"</f>
        <v>4230003760</v>
      </c>
      <c r="H905" s="2" t="str">
        <f t="shared" si="156"/>
        <v>001</v>
      </c>
      <c r="I905" s="2" t="str">
        <f>"4231013"</f>
        <v>4231013</v>
      </c>
      <c r="J905" s="2">
        <f>62000</f>
        <v>62000</v>
      </c>
      <c r="K905" s="2" t="str">
        <f t="shared" si="160"/>
        <v>脚</v>
      </c>
      <c r="L905" s="2" t="str">
        <f>"4231013"</f>
        <v>4231013</v>
      </c>
      <c r="M905" s="2" t="str">
        <f>"4231013"</f>
        <v>4231013</v>
      </c>
    </row>
    <row r="906" spans="1:13" x14ac:dyDescent="0.15">
      <c r="A906" s="2" t="str">
        <f t="shared" ref="A906:A946" si="161">"1881110500"</f>
        <v>1881110500</v>
      </c>
      <c r="B906" s="2" t="str">
        <f t="shared" ref="B906:B946" si="162">"佐伯・区政調整"</f>
        <v>佐伯・区政調整</v>
      </c>
      <c r="C906" s="2" t="str">
        <f>"01ｵ00101"</f>
        <v>01ｵ00101</v>
      </c>
      <c r="D906" s="2" t="str">
        <f>"応接セット"</f>
        <v>応接セット</v>
      </c>
      <c r="E906" s="3" t="str">
        <f>"四点セット"</f>
        <v>四点セット</v>
      </c>
      <c r="F906" s="2" t="str">
        <f t="shared" si="159"/>
        <v>０００１</v>
      </c>
      <c r="G906" s="2" t="str">
        <f>"3620003996"</f>
        <v>3620003996</v>
      </c>
      <c r="H906" s="2" t="str">
        <f t="shared" si="156"/>
        <v>001</v>
      </c>
      <c r="I906" s="2" t="str">
        <f>"4100401"</f>
        <v>4100401</v>
      </c>
      <c r="J906" s="2">
        <f>127000</f>
        <v>127000</v>
      </c>
      <c r="K906" s="2" t="str">
        <f>"組"</f>
        <v>組</v>
      </c>
      <c r="L906" s="2" t="str">
        <f>"3630331"</f>
        <v>3630331</v>
      </c>
      <c r="M906" s="2" t="str">
        <f>""</f>
        <v/>
      </c>
    </row>
    <row r="907" spans="1:13" x14ac:dyDescent="0.15">
      <c r="A907" s="2" t="str">
        <f t="shared" si="161"/>
        <v>1881110500</v>
      </c>
      <c r="B907" s="2" t="str">
        <f t="shared" si="162"/>
        <v>佐伯・区政調整</v>
      </c>
      <c r="C907" s="2" t="str">
        <f>"01ｶ00202"</f>
        <v>01ｶ00202</v>
      </c>
      <c r="D907" s="2" t="str">
        <f>"アンプ"</f>
        <v>アンプ</v>
      </c>
      <c r="E907" s="3" t="str">
        <f>"ＹＡＭＡＨＡ　ＰＣ－３３０１Ｎ"</f>
        <v>ＹＡＭＡＨＡ　ＰＣ－３３０１Ｎ</v>
      </c>
      <c r="F907" s="2" t="str">
        <f t="shared" si="159"/>
        <v>０００１</v>
      </c>
      <c r="G907" s="2" t="str">
        <f>"4240004822"</f>
        <v>4240004822</v>
      </c>
      <c r="H907" s="2" t="str">
        <f t="shared" si="156"/>
        <v>001</v>
      </c>
      <c r="I907" s="2" t="str">
        <f>"4250312"</f>
        <v>4250312</v>
      </c>
      <c r="J907" s="2">
        <f>131040</f>
        <v>131040</v>
      </c>
      <c r="K907" s="2" t="str">
        <f t="shared" ref="K907:K932" si="163">"個"</f>
        <v>個</v>
      </c>
      <c r="L907" s="2" t="str">
        <f>"4250312"</f>
        <v>4250312</v>
      </c>
      <c r="M907" s="2" t="str">
        <f>"4250312"</f>
        <v>4250312</v>
      </c>
    </row>
    <row r="908" spans="1:13" x14ac:dyDescent="0.15">
      <c r="A908" s="2" t="str">
        <f t="shared" si="161"/>
        <v>1881110500</v>
      </c>
      <c r="B908" s="2" t="str">
        <f t="shared" si="162"/>
        <v>佐伯・区政調整</v>
      </c>
      <c r="C908" s="2" t="str">
        <f>"01ｶ00203"</f>
        <v>01ｶ00203</v>
      </c>
      <c r="D908" s="2" t="str">
        <f>"スピーカー"</f>
        <v>スピーカー</v>
      </c>
      <c r="E908" s="3" t="str">
        <f>"ＹＡＭＡＨＡ　Ｓ１１２Ｖ　ＵＬＴ"</f>
        <v>ＹＡＭＡＨＡ　Ｓ１１２Ｖ　ＵＬＴ</v>
      </c>
      <c r="F908" s="2" t="str">
        <f t="shared" ref="F908:F934" si="164">"０００１"</f>
        <v>０００１</v>
      </c>
      <c r="G908" s="2" t="str">
        <f>"4230003761"</f>
        <v>4230003761</v>
      </c>
      <c r="H908" s="2" t="str">
        <f t="shared" si="156"/>
        <v>001</v>
      </c>
      <c r="I908" s="2" t="str">
        <f>"4231025"</f>
        <v>4231025</v>
      </c>
      <c r="J908" s="2">
        <f>56700</f>
        <v>56700</v>
      </c>
      <c r="K908" s="2" t="str">
        <f t="shared" si="163"/>
        <v>個</v>
      </c>
      <c r="L908" s="2" t="str">
        <f>"4231025"</f>
        <v>4231025</v>
      </c>
      <c r="M908" s="2" t="str">
        <f>"4231025"</f>
        <v>4231025</v>
      </c>
    </row>
    <row r="909" spans="1:13" x14ac:dyDescent="0.15">
      <c r="A909" s="2" t="str">
        <f t="shared" si="161"/>
        <v>1881110500</v>
      </c>
      <c r="B909" s="2" t="str">
        <f t="shared" si="162"/>
        <v>佐伯・区政調整</v>
      </c>
      <c r="C909" s="2" t="str">
        <f>"01ｶ00203"</f>
        <v>01ｶ00203</v>
      </c>
      <c r="D909" s="2" t="str">
        <f>"スピーカー"</f>
        <v>スピーカー</v>
      </c>
      <c r="E909" s="3" t="str">
        <f>"ＹＡＭＡＨＡ　Ｓ１１２Ｖ　ＵＬＴ"</f>
        <v>ＹＡＭＡＨＡ　Ｓ１１２Ｖ　ＵＬＴ</v>
      </c>
      <c r="F909" s="2" t="str">
        <f t="shared" si="164"/>
        <v>０００１</v>
      </c>
      <c r="G909" s="2" t="str">
        <f>"4230003762"</f>
        <v>4230003762</v>
      </c>
      <c r="H909" s="2" t="str">
        <f t="shared" si="156"/>
        <v>001</v>
      </c>
      <c r="I909" s="2" t="str">
        <f>"4231025"</f>
        <v>4231025</v>
      </c>
      <c r="J909" s="2">
        <f>56700</f>
        <v>56700</v>
      </c>
      <c r="K909" s="2" t="str">
        <f t="shared" si="163"/>
        <v>個</v>
      </c>
      <c r="L909" s="2" t="str">
        <f>"4231025"</f>
        <v>4231025</v>
      </c>
      <c r="M909" s="2" t="str">
        <f>"4231025"</f>
        <v>4231025</v>
      </c>
    </row>
    <row r="910" spans="1:13" x14ac:dyDescent="0.15">
      <c r="A910" s="2" t="str">
        <f t="shared" si="161"/>
        <v>1881110500</v>
      </c>
      <c r="B910" s="2" t="str">
        <f t="shared" si="162"/>
        <v>佐伯・区政調整</v>
      </c>
      <c r="C910" s="2" t="str">
        <f t="shared" ref="C910:C932" si="165">"01ｶ00204"</f>
        <v>01ｶ00204</v>
      </c>
      <c r="D910" s="2" t="str">
        <f t="shared" ref="D910:D932" si="166">"マイクロホン"</f>
        <v>マイクロホン</v>
      </c>
      <c r="E910" s="3" t="str">
        <f>"ソニー　コンデンサーマイク"</f>
        <v>ソニー　コンデンサーマイク</v>
      </c>
      <c r="F910" s="2" t="str">
        <f t="shared" si="164"/>
        <v>０００１</v>
      </c>
      <c r="G910" s="2" t="str">
        <f>"3620003997"</f>
        <v>3620003997</v>
      </c>
      <c r="H910" s="2" t="str">
        <f t="shared" si="156"/>
        <v>001</v>
      </c>
      <c r="I910" s="2" t="str">
        <f t="shared" ref="I910:I932" si="167">"4100401"</f>
        <v>4100401</v>
      </c>
      <c r="J910" s="2">
        <f>94500</f>
        <v>94500</v>
      </c>
      <c r="K910" s="2" t="str">
        <f t="shared" si="163"/>
        <v>個</v>
      </c>
      <c r="L910" s="2" t="str">
        <f t="shared" ref="L910:L931" si="168">"3630331"</f>
        <v>3630331</v>
      </c>
      <c r="M910" s="2" t="str">
        <f>""</f>
        <v/>
      </c>
    </row>
    <row r="911" spans="1:13" x14ac:dyDescent="0.15">
      <c r="A911" s="2" t="str">
        <f t="shared" si="161"/>
        <v>1881110500</v>
      </c>
      <c r="B911" s="2" t="str">
        <f t="shared" si="162"/>
        <v>佐伯・区政調整</v>
      </c>
      <c r="C911" s="2" t="str">
        <f t="shared" si="165"/>
        <v>01ｶ00204</v>
      </c>
      <c r="D911" s="2" t="str">
        <f t="shared" si="166"/>
        <v>マイクロホン</v>
      </c>
      <c r="E911" s="3" t="str">
        <f>"ソニー　コンデンサーマイク"</f>
        <v>ソニー　コンデンサーマイク</v>
      </c>
      <c r="F911" s="2" t="str">
        <f t="shared" si="164"/>
        <v>０００１</v>
      </c>
      <c r="G911" s="2" t="str">
        <f>"3620003998"</f>
        <v>3620003998</v>
      </c>
      <c r="H911" s="2" t="str">
        <f t="shared" si="156"/>
        <v>001</v>
      </c>
      <c r="I911" s="2" t="str">
        <f t="shared" si="167"/>
        <v>4100401</v>
      </c>
      <c r="J911" s="2">
        <f>94500</f>
        <v>94500</v>
      </c>
      <c r="K911" s="2" t="str">
        <f t="shared" si="163"/>
        <v>個</v>
      </c>
      <c r="L911" s="2" t="str">
        <f t="shared" si="168"/>
        <v>3630331</v>
      </c>
      <c r="M911" s="2" t="str">
        <f>""</f>
        <v/>
      </c>
    </row>
    <row r="912" spans="1:13" x14ac:dyDescent="0.15">
      <c r="A912" s="2" t="str">
        <f t="shared" si="161"/>
        <v>1881110500</v>
      </c>
      <c r="B912" s="2" t="str">
        <f t="shared" si="162"/>
        <v>佐伯・区政調整</v>
      </c>
      <c r="C912" s="2" t="str">
        <f t="shared" si="165"/>
        <v>01ｶ00204</v>
      </c>
      <c r="D912" s="2" t="str">
        <f t="shared" si="166"/>
        <v>マイクロホン</v>
      </c>
      <c r="E912" s="3" t="str">
        <f>"ソニー　コンデンサーマイク"</f>
        <v>ソニー　コンデンサーマイク</v>
      </c>
      <c r="F912" s="2" t="str">
        <f t="shared" si="164"/>
        <v>０００１</v>
      </c>
      <c r="G912" s="2" t="str">
        <f>"3620004001"</f>
        <v>3620004001</v>
      </c>
      <c r="H912" s="2" t="str">
        <f t="shared" si="156"/>
        <v>001</v>
      </c>
      <c r="I912" s="2" t="str">
        <f t="shared" si="167"/>
        <v>4100401</v>
      </c>
      <c r="J912" s="2">
        <f>94500</f>
        <v>94500</v>
      </c>
      <c r="K912" s="2" t="str">
        <f t="shared" si="163"/>
        <v>個</v>
      </c>
      <c r="L912" s="2" t="str">
        <f t="shared" si="168"/>
        <v>3630331</v>
      </c>
      <c r="M912" s="2" t="str">
        <f>""</f>
        <v/>
      </c>
    </row>
    <row r="913" spans="1:13" x14ac:dyDescent="0.15">
      <c r="A913" s="2" t="str">
        <f t="shared" si="161"/>
        <v>1881110500</v>
      </c>
      <c r="B913" s="2" t="str">
        <f t="shared" si="162"/>
        <v>佐伯・区政調整</v>
      </c>
      <c r="C913" s="2" t="str">
        <f t="shared" si="165"/>
        <v>01ｶ00204</v>
      </c>
      <c r="D913" s="2" t="str">
        <f t="shared" si="166"/>
        <v>マイクロホン</v>
      </c>
      <c r="E913" s="3" t="str">
        <f>"三点吊マイク　ＣＭＳ‐２"</f>
        <v>三点吊マイク　ＣＭＳ‐２</v>
      </c>
      <c r="F913" s="2" t="str">
        <f t="shared" si="164"/>
        <v>０００１</v>
      </c>
      <c r="G913" s="2" t="str">
        <f>"3620004002"</f>
        <v>3620004002</v>
      </c>
      <c r="H913" s="2" t="str">
        <f t="shared" si="156"/>
        <v>001</v>
      </c>
      <c r="I913" s="2" t="str">
        <f t="shared" si="167"/>
        <v>4100401</v>
      </c>
      <c r="J913" s="2">
        <f>220500</f>
        <v>220500</v>
      </c>
      <c r="K913" s="2" t="str">
        <f t="shared" si="163"/>
        <v>個</v>
      </c>
      <c r="L913" s="2" t="str">
        <f t="shared" si="168"/>
        <v>3630331</v>
      </c>
      <c r="M913" s="2" t="str">
        <f>""</f>
        <v/>
      </c>
    </row>
    <row r="914" spans="1:13" x14ac:dyDescent="0.15">
      <c r="A914" s="2" t="str">
        <f t="shared" si="161"/>
        <v>1881110500</v>
      </c>
      <c r="B914" s="2" t="str">
        <f t="shared" si="162"/>
        <v>佐伯・区政調整</v>
      </c>
      <c r="C914" s="2" t="str">
        <f t="shared" si="165"/>
        <v>01ｶ00204</v>
      </c>
      <c r="D914" s="2" t="str">
        <f t="shared" si="166"/>
        <v>マイクロホン</v>
      </c>
      <c r="E914" s="3" t="str">
        <f>"リボンマイク　Ｍ‐５００Ｎ"</f>
        <v>リボンマイク　Ｍ‐５００Ｎ</v>
      </c>
      <c r="F914" s="2" t="str">
        <f t="shared" si="164"/>
        <v>０００１</v>
      </c>
      <c r="G914" s="2" t="str">
        <f>"3620004003"</f>
        <v>3620004003</v>
      </c>
      <c r="H914" s="2" t="str">
        <f t="shared" si="156"/>
        <v>001</v>
      </c>
      <c r="I914" s="2" t="str">
        <f t="shared" si="167"/>
        <v>4100401</v>
      </c>
      <c r="J914" s="2">
        <f>64300</f>
        <v>64300</v>
      </c>
      <c r="K914" s="2" t="str">
        <f t="shared" si="163"/>
        <v>個</v>
      </c>
      <c r="L914" s="2" t="str">
        <f t="shared" si="168"/>
        <v>3630331</v>
      </c>
      <c r="M914" s="2" t="str">
        <f>""</f>
        <v/>
      </c>
    </row>
    <row r="915" spans="1:13" x14ac:dyDescent="0.15">
      <c r="A915" s="2" t="str">
        <f t="shared" si="161"/>
        <v>1881110500</v>
      </c>
      <c r="B915" s="2" t="str">
        <f t="shared" si="162"/>
        <v>佐伯・区政調整</v>
      </c>
      <c r="C915" s="2" t="str">
        <f t="shared" si="165"/>
        <v>01ｶ00204</v>
      </c>
      <c r="D915" s="2" t="str">
        <f t="shared" si="166"/>
        <v>マイクロホン</v>
      </c>
      <c r="E915" s="3" t="str">
        <f>"リボンマイク　Ｍ‐５００Ｎ"</f>
        <v>リボンマイク　Ｍ‐５００Ｎ</v>
      </c>
      <c r="F915" s="2" t="str">
        <f t="shared" si="164"/>
        <v>０００１</v>
      </c>
      <c r="G915" s="2" t="str">
        <f>"3620004004"</f>
        <v>3620004004</v>
      </c>
      <c r="H915" s="2" t="str">
        <f t="shared" si="156"/>
        <v>001</v>
      </c>
      <c r="I915" s="2" t="str">
        <f t="shared" si="167"/>
        <v>4100401</v>
      </c>
      <c r="J915" s="2">
        <f>64300</f>
        <v>64300</v>
      </c>
      <c r="K915" s="2" t="str">
        <f t="shared" si="163"/>
        <v>個</v>
      </c>
      <c r="L915" s="2" t="str">
        <f t="shared" si="168"/>
        <v>3630331</v>
      </c>
      <c r="M915" s="2" t="str">
        <f>""</f>
        <v/>
      </c>
    </row>
    <row r="916" spans="1:13" x14ac:dyDescent="0.15">
      <c r="A916" s="2" t="str">
        <f t="shared" si="161"/>
        <v>1881110500</v>
      </c>
      <c r="B916" s="2" t="str">
        <f t="shared" si="162"/>
        <v>佐伯・区政調整</v>
      </c>
      <c r="C916" s="2" t="str">
        <f t="shared" si="165"/>
        <v>01ｶ00204</v>
      </c>
      <c r="D916" s="2" t="str">
        <f t="shared" si="166"/>
        <v>マイクロホン</v>
      </c>
      <c r="E916" s="3" t="str">
        <f t="shared" ref="E916:E923" si="169">"ダイナミックマイク　ＣＭ５８ＬＣ"</f>
        <v>ダイナミックマイク　ＣＭ５８ＬＣ</v>
      </c>
      <c r="F916" s="2" t="str">
        <f t="shared" si="164"/>
        <v>０００１</v>
      </c>
      <c r="G916" s="2" t="str">
        <f>"3620004005"</f>
        <v>3620004005</v>
      </c>
      <c r="H916" s="2" t="str">
        <f t="shared" si="156"/>
        <v>001</v>
      </c>
      <c r="I916" s="2" t="str">
        <f t="shared" si="167"/>
        <v>4100401</v>
      </c>
      <c r="J916" s="2">
        <f>36000</f>
        <v>36000</v>
      </c>
      <c r="K916" s="2" t="str">
        <f t="shared" si="163"/>
        <v>個</v>
      </c>
      <c r="L916" s="2" t="str">
        <f t="shared" si="168"/>
        <v>3630331</v>
      </c>
      <c r="M916" s="2" t="str">
        <f>""</f>
        <v/>
      </c>
    </row>
    <row r="917" spans="1:13" x14ac:dyDescent="0.15">
      <c r="A917" s="2" t="str">
        <f t="shared" si="161"/>
        <v>1881110500</v>
      </c>
      <c r="B917" s="2" t="str">
        <f t="shared" si="162"/>
        <v>佐伯・区政調整</v>
      </c>
      <c r="C917" s="2" t="str">
        <f t="shared" si="165"/>
        <v>01ｶ00204</v>
      </c>
      <c r="D917" s="2" t="str">
        <f t="shared" si="166"/>
        <v>マイクロホン</v>
      </c>
      <c r="E917" s="3" t="str">
        <f t="shared" si="169"/>
        <v>ダイナミックマイク　ＣＭ５８ＬＣ</v>
      </c>
      <c r="F917" s="2" t="str">
        <f t="shared" si="164"/>
        <v>０００１</v>
      </c>
      <c r="G917" s="2" t="str">
        <f>"3620004006"</f>
        <v>3620004006</v>
      </c>
      <c r="H917" s="2" t="str">
        <f t="shared" si="156"/>
        <v>001</v>
      </c>
      <c r="I917" s="2" t="str">
        <f t="shared" si="167"/>
        <v>4100401</v>
      </c>
      <c r="J917" s="2">
        <f>36000</f>
        <v>36000</v>
      </c>
      <c r="K917" s="2" t="str">
        <f t="shared" si="163"/>
        <v>個</v>
      </c>
      <c r="L917" s="2" t="str">
        <f t="shared" si="168"/>
        <v>3630331</v>
      </c>
      <c r="M917" s="2" t="str">
        <f>""</f>
        <v/>
      </c>
    </row>
    <row r="918" spans="1:13" x14ac:dyDescent="0.15">
      <c r="A918" s="2" t="str">
        <f t="shared" si="161"/>
        <v>1881110500</v>
      </c>
      <c r="B918" s="2" t="str">
        <f t="shared" si="162"/>
        <v>佐伯・区政調整</v>
      </c>
      <c r="C918" s="2" t="str">
        <f t="shared" si="165"/>
        <v>01ｶ00204</v>
      </c>
      <c r="D918" s="2" t="str">
        <f t="shared" si="166"/>
        <v>マイクロホン</v>
      </c>
      <c r="E918" s="3" t="str">
        <f t="shared" si="169"/>
        <v>ダイナミックマイク　ＣＭ５８ＬＣ</v>
      </c>
      <c r="F918" s="2" t="str">
        <f t="shared" si="164"/>
        <v>０００１</v>
      </c>
      <c r="G918" s="2" t="str">
        <f>"3620004007"</f>
        <v>3620004007</v>
      </c>
      <c r="H918" s="2" t="str">
        <f t="shared" si="156"/>
        <v>001</v>
      </c>
      <c r="I918" s="2" t="str">
        <f t="shared" si="167"/>
        <v>4100401</v>
      </c>
      <c r="J918" s="2">
        <f>36000</f>
        <v>36000</v>
      </c>
      <c r="K918" s="2" t="str">
        <f t="shared" si="163"/>
        <v>個</v>
      </c>
      <c r="L918" s="2" t="str">
        <f t="shared" si="168"/>
        <v>3630331</v>
      </c>
      <c r="M918" s="2" t="str">
        <f>""</f>
        <v/>
      </c>
    </row>
    <row r="919" spans="1:13" x14ac:dyDescent="0.15">
      <c r="A919" s="2" t="str">
        <f t="shared" si="161"/>
        <v>1881110500</v>
      </c>
      <c r="B919" s="2" t="str">
        <f t="shared" si="162"/>
        <v>佐伯・区政調整</v>
      </c>
      <c r="C919" s="2" t="str">
        <f t="shared" si="165"/>
        <v>01ｶ00204</v>
      </c>
      <c r="D919" s="2" t="str">
        <f t="shared" si="166"/>
        <v>マイクロホン</v>
      </c>
      <c r="E919" s="3" t="str">
        <f t="shared" si="169"/>
        <v>ダイナミックマイク　ＣＭ５８ＬＣ</v>
      </c>
      <c r="F919" s="2" t="str">
        <f t="shared" si="164"/>
        <v>０００１</v>
      </c>
      <c r="G919" s="2" t="str">
        <f>"3620004008"</f>
        <v>3620004008</v>
      </c>
      <c r="H919" s="2" t="str">
        <f t="shared" si="156"/>
        <v>001</v>
      </c>
      <c r="I919" s="2" t="str">
        <f t="shared" si="167"/>
        <v>4100401</v>
      </c>
      <c r="J919" s="2">
        <f>36000</f>
        <v>36000</v>
      </c>
      <c r="K919" s="2" t="str">
        <f t="shared" si="163"/>
        <v>個</v>
      </c>
      <c r="L919" s="2" t="str">
        <f t="shared" si="168"/>
        <v>3630331</v>
      </c>
      <c r="M919" s="2" t="str">
        <f>""</f>
        <v/>
      </c>
    </row>
    <row r="920" spans="1:13" x14ac:dyDescent="0.15">
      <c r="A920" s="2" t="str">
        <f t="shared" si="161"/>
        <v>1881110500</v>
      </c>
      <c r="B920" s="2" t="str">
        <f t="shared" si="162"/>
        <v>佐伯・区政調整</v>
      </c>
      <c r="C920" s="2" t="str">
        <f t="shared" si="165"/>
        <v>01ｶ00204</v>
      </c>
      <c r="D920" s="2" t="str">
        <f t="shared" si="166"/>
        <v>マイクロホン</v>
      </c>
      <c r="E920" s="3" t="str">
        <f t="shared" si="169"/>
        <v>ダイナミックマイク　ＣＭ５８ＬＣ</v>
      </c>
      <c r="F920" s="2" t="str">
        <f t="shared" si="164"/>
        <v>０００１</v>
      </c>
      <c r="G920" s="2" t="str">
        <f>"3620004009"</f>
        <v>3620004009</v>
      </c>
      <c r="H920" s="2" t="str">
        <f t="shared" si="156"/>
        <v>001</v>
      </c>
      <c r="I920" s="2" t="str">
        <f t="shared" si="167"/>
        <v>4100401</v>
      </c>
      <c r="J920" s="2">
        <f>36000</f>
        <v>36000</v>
      </c>
      <c r="K920" s="2" t="str">
        <f t="shared" si="163"/>
        <v>個</v>
      </c>
      <c r="L920" s="2" t="str">
        <f t="shared" si="168"/>
        <v>3630331</v>
      </c>
      <c r="M920" s="2" t="str">
        <f>""</f>
        <v/>
      </c>
    </row>
    <row r="921" spans="1:13" x14ac:dyDescent="0.15">
      <c r="A921" s="2" t="str">
        <f t="shared" si="161"/>
        <v>1881110500</v>
      </c>
      <c r="B921" s="2" t="str">
        <f t="shared" si="162"/>
        <v>佐伯・区政調整</v>
      </c>
      <c r="C921" s="2" t="str">
        <f t="shared" si="165"/>
        <v>01ｶ00204</v>
      </c>
      <c r="D921" s="2" t="str">
        <f t="shared" si="166"/>
        <v>マイクロホン</v>
      </c>
      <c r="E921" s="3" t="str">
        <f t="shared" si="169"/>
        <v>ダイナミックマイク　ＣＭ５８ＬＣ</v>
      </c>
      <c r="F921" s="2" t="str">
        <f t="shared" si="164"/>
        <v>０００１</v>
      </c>
      <c r="G921" s="2" t="str">
        <f>"3620004010"</f>
        <v>3620004010</v>
      </c>
      <c r="H921" s="2" t="str">
        <f t="shared" si="156"/>
        <v>001</v>
      </c>
      <c r="I921" s="2" t="str">
        <f t="shared" si="167"/>
        <v>4100401</v>
      </c>
      <c r="J921" s="2">
        <f>36000</f>
        <v>36000</v>
      </c>
      <c r="K921" s="2" t="str">
        <f t="shared" si="163"/>
        <v>個</v>
      </c>
      <c r="L921" s="2" t="str">
        <f t="shared" si="168"/>
        <v>3630331</v>
      </c>
      <c r="M921" s="2" t="str">
        <f>""</f>
        <v/>
      </c>
    </row>
    <row r="922" spans="1:13" x14ac:dyDescent="0.15">
      <c r="A922" s="2" t="str">
        <f t="shared" si="161"/>
        <v>1881110500</v>
      </c>
      <c r="B922" s="2" t="str">
        <f t="shared" si="162"/>
        <v>佐伯・区政調整</v>
      </c>
      <c r="C922" s="2" t="str">
        <f t="shared" si="165"/>
        <v>01ｶ00204</v>
      </c>
      <c r="D922" s="2" t="str">
        <f t="shared" si="166"/>
        <v>マイクロホン</v>
      </c>
      <c r="E922" s="3" t="str">
        <f t="shared" si="169"/>
        <v>ダイナミックマイク　ＣＭ５８ＬＣ</v>
      </c>
      <c r="F922" s="2" t="str">
        <f t="shared" si="164"/>
        <v>０００１</v>
      </c>
      <c r="G922" s="2" t="str">
        <f>"3620004011"</f>
        <v>3620004011</v>
      </c>
      <c r="H922" s="2" t="str">
        <f t="shared" si="156"/>
        <v>001</v>
      </c>
      <c r="I922" s="2" t="str">
        <f t="shared" si="167"/>
        <v>4100401</v>
      </c>
      <c r="J922" s="2">
        <f>36000</f>
        <v>36000</v>
      </c>
      <c r="K922" s="2" t="str">
        <f t="shared" si="163"/>
        <v>個</v>
      </c>
      <c r="L922" s="2" t="str">
        <f t="shared" si="168"/>
        <v>3630331</v>
      </c>
      <c r="M922" s="2" t="str">
        <f>""</f>
        <v/>
      </c>
    </row>
    <row r="923" spans="1:13" x14ac:dyDescent="0.15">
      <c r="A923" s="2" t="str">
        <f t="shared" si="161"/>
        <v>1881110500</v>
      </c>
      <c r="B923" s="2" t="str">
        <f t="shared" si="162"/>
        <v>佐伯・区政調整</v>
      </c>
      <c r="C923" s="2" t="str">
        <f t="shared" si="165"/>
        <v>01ｶ00204</v>
      </c>
      <c r="D923" s="2" t="str">
        <f t="shared" si="166"/>
        <v>マイクロホン</v>
      </c>
      <c r="E923" s="3" t="str">
        <f t="shared" si="169"/>
        <v>ダイナミックマイク　ＣＭ５８ＬＣ</v>
      </c>
      <c r="F923" s="2" t="str">
        <f t="shared" si="164"/>
        <v>０００１</v>
      </c>
      <c r="G923" s="2" t="str">
        <f>"3620004012"</f>
        <v>3620004012</v>
      </c>
      <c r="H923" s="2" t="str">
        <f t="shared" si="156"/>
        <v>001</v>
      </c>
      <c r="I923" s="2" t="str">
        <f t="shared" si="167"/>
        <v>4100401</v>
      </c>
      <c r="J923" s="2">
        <f>36000</f>
        <v>36000</v>
      </c>
      <c r="K923" s="2" t="str">
        <f t="shared" si="163"/>
        <v>個</v>
      </c>
      <c r="L923" s="2" t="str">
        <f t="shared" si="168"/>
        <v>3630331</v>
      </c>
      <c r="M923" s="2" t="str">
        <f>""</f>
        <v/>
      </c>
    </row>
    <row r="924" spans="1:13" x14ac:dyDescent="0.15">
      <c r="A924" s="2" t="str">
        <f t="shared" si="161"/>
        <v>1881110500</v>
      </c>
      <c r="B924" s="2" t="str">
        <f t="shared" si="162"/>
        <v>佐伯・区政調整</v>
      </c>
      <c r="C924" s="2" t="str">
        <f t="shared" si="165"/>
        <v>01ｶ00204</v>
      </c>
      <c r="D924" s="2" t="str">
        <f t="shared" si="166"/>
        <v>マイクロホン</v>
      </c>
      <c r="E924" s="3" t="str">
        <f t="shared" ref="E924:E929" si="170">"ダイナミックマイク　ＰＬ６"</f>
        <v>ダイナミックマイク　ＰＬ６</v>
      </c>
      <c r="F924" s="2" t="str">
        <f t="shared" si="164"/>
        <v>０００１</v>
      </c>
      <c r="G924" s="2" t="str">
        <f>"3620004013"</f>
        <v>3620004013</v>
      </c>
      <c r="H924" s="2" t="str">
        <f t="shared" si="156"/>
        <v>001</v>
      </c>
      <c r="I924" s="2" t="str">
        <f t="shared" si="167"/>
        <v>4100401</v>
      </c>
      <c r="J924" s="2">
        <f>34800</f>
        <v>34800</v>
      </c>
      <c r="K924" s="2" t="str">
        <f t="shared" si="163"/>
        <v>個</v>
      </c>
      <c r="L924" s="2" t="str">
        <f t="shared" si="168"/>
        <v>3630331</v>
      </c>
      <c r="M924" s="2" t="str">
        <f>""</f>
        <v/>
      </c>
    </row>
    <row r="925" spans="1:13" x14ac:dyDescent="0.15">
      <c r="A925" s="2" t="str">
        <f t="shared" si="161"/>
        <v>1881110500</v>
      </c>
      <c r="B925" s="2" t="str">
        <f t="shared" si="162"/>
        <v>佐伯・区政調整</v>
      </c>
      <c r="C925" s="2" t="str">
        <f t="shared" si="165"/>
        <v>01ｶ00204</v>
      </c>
      <c r="D925" s="2" t="str">
        <f t="shared" si="166"/>
        <v>マイクロホン</v>
      </c>
      <c r="E925" s="3" t="str">
        <f t="shared" si="170"/>
        <v>ダイナミックマイク　ＰＬ６</v>
      </c>
      <c r="F925" s="2" t="str">
        <f t="shared" si="164"/>
        <v>０００１</v>
      </c>
      <c r="G925" s="2" t="str">
        <f>"3620004014"</f>
        <v>3620004014</v>
      </c>
      <c r="H925" s="2" t="str">
        <f t="shared" si="156"/>
        <v>001</v>
      </c>
      <c r="I925" s="2" t="str">
        <f t="shared" si="167"/>
        <v>4100401</v>
      </c>
      <c r="J925" s="2">
        <f>34800</f>
        <v>34800</v>
      </c>
      <c r="K925" s="2" t="str">
        <f t="shared" si="163"/>
        <v>個</v>
      </c>
      <c r="L925" s="2" t="str">
        <f t="shared" si="168"/>
        <v>3630331</v>
      </c>
      <c r="M925" s="2" t="str">
        <f>""</f>
        <v/>
      </c>
    </row>
    <row r="926" spans="1:13" x14ac:dyDescent="0.15">
      <c r="A926" s="2" t="str">
        <f t="shared" si="161"/>
        <v>1881110500</v>
      </c>
      <c r="B926" s="2" t="str">
        <f t="shared" si="162"/>
        <v>佐伯・区政調整</v>
      </c>
      <c r="C926" s="2" t="str">
        <f t="shared" si="165"/>
        <v>01ｶ00204</v>
      </c>
      <c r="D926" s="2" t="str">
        <f t="shared" si="166"/>
        <v>マイクロホン</v>
      </c>
      <c r="E926" s="3" t="str">
        <f t="shared" si="170"/>
        <v>ダイナミックマイク　ＰＬ６</v>
      </c>
      <c r="F926" s="2" t="str">
        <f t="shared" si="164"/>
        <v>０００１</v>
      </c>
      <c r="G926" s="2" t="str">
        <f>"3620004015"</f>
        <v>3620004015</v>
      </c>
      <c r="H926" s="2" t="str">
        <f t="shared" si="156"/>
        <v>001</v>
      </c>
      <c r="I926" s="2" t="str">
        <f t="shared" si="167"/>
        <v>4100401</v>
      </c>
      <c r="J926" s="2">
        <f>34800</f>
        <v>34800</v>
      </c>
      <c r="K926" s="2" t="str">
        <f t="shared" si="163"/>
        <v>個</v>
      </c>
      <c r="L926" s="2" t="str">
        <f t="shared" si="168"/>
        <v>3630331</v>
      </c>
      <c r="M926" s="2" t="str">
        <f>""</f>
        <v/>
      </c>
    </row>
    <row r="927" spans="1:13" x14ac:dyDescent="0.15">
      <c r="A927" s="2" t="str">
        <f t="shared" si="161"/>
        <v>1881110500</v>
      </c>
      <c r="B927" s="2" t="str">
        <f t="shared" si="162"/>
        <v>佐伯・区政調整</v>
      </c>
      <c r="C927" s="2" t="str">
        <f t="shared" si="165"/>
        <v>01ｶ00204</v>
      </c>
      <c r="D927" s="2" t="str">
        <f t="shared" si="166"/>
        <v>マイクロホン</v>
      </c>
      <c r="E927" s="3" t="str">
        <f t="shared" si="170"/>
        <v>ダイナミックマイク　ＰＬ６</v>
      </c>
      <c r="F927" s="2" t="str">
        <f t="shared" si="164"/>
        <v>０００１</v>
      </c>
      <c r="G927" s="2" t="str">
        <f>"3620004016"</f>
        <v>3620004016</v>
      </c>
      <c r="H927" s="2" t="str">
        <f t="shared" si="156"/>
        <v>001</v>
      </c>
      <c r="I927" s="2" t="str">
        <f t="shared" si="167"/>
        <v>4100401</v>
      </c>
      <c r="J927" s="2">
        <f>34800</f>
        <v>34800</v>
      </c>
      <c r="K927" s="2" t="str">
        <f t="shared" si="163"/>
        <v>個</v>
      </c>
      <c r="L927" s="2" t="str">
        <f t="shared" si="168"/>
        <v>3630331</v>
      </c>
      <c r="M927" s="2" t="str">
        <f>""</f>
        <v/>
      </c>
    </row>
    <row r="928" spans="1:13" x14ac:dyDescent="0.15">
      <c r="A928" s="2" t="str">
        <f t="shared" si="161"/>
        <v>1881110500</v>
      </c>
      <c r="B928" s="2" t="str">
        <f t="shared" si="162"/>
        <v>佐伯・区政調整</v>
      </c>
      <c r="C928" s="2" t="str">
        <f t="shared" si="165"/>
        <v>01ｶ00204</v>
      </c>
      <c r="D928" s="2" t="str">
        <f t="shared" si="166"/>
        <v>マイクロホン</v>
      </c>
      <c r="E928" s="3" t="str">
        <f t="shared" si="170"/>
        <v>ダイナミックマイク　ＰＬ６</v>
      </c>
      <c r="F928" s="2" t="str">
        <f t="shared" si="164"/>
        <v>０００１</v>
      </c>
      <c r="G928" s="2" t="str">
        <f>"3620004017"</f>
        <v>3620004017</v>
      </c>
      <c r="H928" s="2" t="str">
        <f t="shared" si="156"/>
        <v>001</v>
      </c>
      <c r="I928" s="2" t="str">
        <f t="shared" si="167"/>
        <v>4100401</v>
      </c>
      <c r="J928" s="2">
        <f>34800</f>
        <v>34800</v>
      </c>
      <c r="K928" s="2" t="str">
        <f t="shared" si="163"/>
        <v>個</v>
      </c>
      <c r="L928" s="2" t="str">
        <f t="shared" si="168"/>
        <v>3630331</v>
      </c>
      <c r="M928" s="2" t="str">
        <f>""</f>
        <v/>
      </c>
    </row>
    <row r="929" spans="1:13" x14ac:dyDescent="0.15">
      <c r="A929" s="2" t="str">
        <f t="shared" si="161"/>
        <v>1881110500</v>
      </c>
      <c r="B929" s="2" t="str">
        <f t="shared" si="162"/>
        <v>佐伯・区政調整</v>
      </c>
      <c r="C929" s="2" t="str">
        <f t="shared" si="165"/>
        <v>01ｶ00204</v>
      </c>
      <c r="D929" s="2" t="str">
        <f t="shared" si="166"/>
        <v>マイクロホン</v>
      </c>
      <c r="E929" s="3" t="str">
        <f t="shared" si="170"/>
        <v>ダイナミックマイク　ＰＬ６</v>
      </c>
      <c r="F929" s="2" t="str">
        <f t="shared" si="164"/>
        <v>０００１</v>
      </c>
      <c r="G929" s="2" t="str">
        <f>"3620004018"</f>
        <v>3620004018</v>
      </c>
      <c r="H929" s="2" t="str">
        <f t="shared" si="156"/>
        <v>001</v>
      </c>
      <c r="I929" s="2" t="str">
        <f t="shared" si="167"/>
        <v>4100401</v>
      </c>
      <c r="J929" s="2">
        <f>34800</f>
        <v>34800</v>
      </c>
      <c r="K929" s="2" t="str">
        <f t="shared" si="163"/>
        <v>個</v>
      </c>
      <c r="L929" s="2" t="str">
        <f t="shared" si="168"/>
        <v>3630331</v>
      </c>
      <c r="M929" s="2" t="str">
        <f>""</f>
        <v/>
      </c>
    </row>
    <row r="930" spans="1:13" x14ac:dyDescent="0.15">
      <c r="A930" s="2" t="str">
        <f t="shared" si="161"/>
        <v>1881110500</v>
      </c>
      <c r="B930" s="2" t="str">
        <f t="shared" si="162"/>
        <v>佐伯・区政調整</v>
      </c>
      <c r="C930" s="2" t="str">
        <f t="shared" si="165"/>
        <v>01ｶ00204</v>
      </c>
      <c r="D930" s="2" t="str">
        <f t="shared" si="166"/>
        <v>マイクロホン</v>
      </c>
      <c r="E930" s="3" t="str">
        <f>"ゼンハイザー"</f>
        <v>ゼンハイザー</v>
      </c>
      <c r="F930" s="2" t="str">
        <f t="shared" si="164"/>
        <v>０００１</v>
      </c>
      <c r="G930" s="2" t="str">
        <f>"3620004019"</f>
        <v>3620004019</v>
      </c>
      <c r="H930" s="2" t="str">
        <f t="shared" si="156"/>
        <v>001</v>
      </c>
      <c r="I930" s="2" t="str">
        <f t="shared" si="167"/>
        <v>4100401</v>
      </c>
      <c r="J930" s="2">
        <f>63000</f>
        <v>63000</v>
      </c>
      <c r="K930" s="2" t="str">
        <f t="shared" si="163"/>
        <v>個</v>
      </c>
      <c r="L930" s="2" t="str">
        <f t="shared" si="168"/>
        <v>3630331</v>
      </c>
      <c r="M930" s="2" t="str">
        <f>""</f>
        <v/>
      </c>
    </row>
    <row r="931" spans="1:13" x14ac:dyDescent="0.15">
      <c r="A931" s="2" t="str">
        <f t="shared" si="161"/>
        <v>1881110500</v>
      </c>
      <c r="B931" s="2" t="str">
        <f t="shared" si="162"/>
        <v>佐伯・区政調整</v>
      </c>
      <c r="C931" s="2" t="str">
        <f t="shared" si="165"/>
        <v>01ｶ00204</v>
      </c>
      <c r="D931" s="2" t="str">
        <f t="shared" si="166"/>
        <v>マイクロホン</v>
      </c>
      <c r="E931" s="3" t="str">
        <f>"ゼンハイザー"</f>
        <v>ゼンハイザー</v>
      </c>
      <c r="F931" s="2" t="str">
        <f t="shared" si="164"/>
        <v>０００１</v>
      </c>
      <c r="G931" s="2" t="str">
        <f>"3620004020"</f>
        <v>3620004020</v>
      </c>
      <c r="H931" s="2" t="str">
        <f t="shared" si="156"/>
        <v>001</v>
      </c>
      <c r="I931" s="2" t="str">
        <f t="shared" si="167"/>
        <v>4100401</v>
      </c>
      <c r="J931" s="2">
        <f>63000</f>
        <v>63000</v>
      </c>
      <c r="K931" s="2" t="str">
        <f t="shared" si="163"/>
        <v>個</v>
      </c>
      <c r="L931" s="2" t="str">
        <f t="shared" si="168"/>
        <v>3630331</v>
      </c>
      <c r="M931" s="2" t="str">
        <f>""</f>
        <v/>
      </c>
    </row>
    <row r="932" spans="1:13" x14ac:dyDescent="0.15">
      <c r="A932" s="2" t="str">
        <f t="shared" si="161"/>
        <v>1881110500</v>
      </c>
      <c r="B932" s="2" t="str">
        <f t="shared" si="162"/>
        <v>佐伯・区政調整</v>
      </c>
      <c r="C932" s="2" t="str">
        <f t="shared" si="165"/>
        <v>01ｶ00204</v>
      </c>
      <c r="D932" s="2" t="str">
        <f t="shared" si="166"/>
        <v>マイクロホン</v>
      </c>
      <c r="E932" s="3" t="str">
        <f>"フォステクス　Ｍ２２ＲＰ"</f>
        <v>フォステクス　Ｍ２２ＲＰ</v>
      </c>
      <c r="F932" s="2" t="str">
        <f t="shared" si="164"/>
        <v>０００１</v>
      </c>
      <c r="G932" s="2" t="str">
        <f>"4010005456"</f>
        <v>4010005456</v>
      </c>
      <c r="H932" s="2" t="str">
        <f t="shared" si="156"/>
        <v>001</v>
      </c>
      <c r="I932" s="2" t="str">
        <f t="shared" si="167"/>
        <v>4100401</v>
      </c>
      <c r="J932" s="2">
        <f>123600</f>
        <v>123600</v>
      </c>
      <c r="K932" s="2" t="str">
        <f t="shared" si="163"/>
        <v>個</v>
      </c>
      <c r="L932" s="2" t="str">
        <f>"4020306"</f>
        <v>4020306</v>
      </c>
      <c r="M932" s="2" t="str">
        <f>"4020306"</f>
        <v>4020306</v>
      </c>
    </row>
    <row r="933" spans="1:13" x14ac:dyDescent="0.15">
      <c r="A933" s="2" t="str">
        <f t="shared" si="161"/>
        <v>1881110500</v>
      </c>
      <c r="B933" s="2" t="str">
        <f t="shared" si="162"/>
        <v>佐伯・区政調整</v>
      </c>
      <c r="C933" s="2" t="str">
        <f>"01ｶ00208"</f>
        <v>01ｶ00208</v>
      </c>
      <c r="D933" s="2" t="str">
        <f>"音響効果装置"</f>
        <v>音響効果装置</v>
      </c>
      <c r="E933" s="3" t="str">
        <f>"ヤマハ　ＳＰＸ１０００"</f>
        <v>ヤマハ　ＳＰＸ１０００</v>
      </c>
      <c r="F933" s="2" t="str">
        <f t="shared" si="164"/>
        <v>０００１</v>
      </c>
      <c r="G933" s="2" t="str">
        <f>"4010005457"</f>
        <v>4010005457</v>
      </c>
      <c r="H933" s="2" t="str">
        <f t="shared" ref="H933:H946" si="171">"001"</f>
        <v>001</v>
      </c>
      <c r="I933" s="2" t="str">
        <f>"4100401"</f>
        <v>4100401</v>
      </c>
      <c r="J933" s="2">
        <f>133900</f>
        <v>133900</v>
      </c>
      <c r="K933" s="2" t="str">
        <f t="shared" ref="K933:K935" si="172">"台"</f>
        <v>台</v>
      </c>
      <c r="L933" s="2" t="str">
        <f>"4020306"</f>
        <v>4020306</v>
      </c>
      <c r="M933" s="2" t="str">
        <f>"4020306"</f>
        <v>4020306</v>
      </c>
    </row>
    <row r="934" spans="1:13" x14ac:dyDescent="0.15">
      <c r="A934" s="2" t="str">
        <f t="shared" si="161"/>
        <v>1881110500</v>
      </c>
      <c r="B934" s="2" t="str">
        <f t="shared" si="162"/>
        <v>佐伯・区政調整</v>
      </c>
      <c r="C934" s="2" t="str">
        <f>"01ｶ00208"</f>
        <v>01ｶ00208</v>
      </c>
      <c r="D934" s="2" t="str">
        <f>"音響効果装置"</f>
        <v>音響効果装置</v>
      </c>
      <c r="E934" s="3" t="str">
        <f>"ＴＯＭＯＣＡＴＣＣ－１００　カフボックス"</f>
        <v>ＴＯＭＯＣＡＴＣＣ－１００　カフボックス</v>
      </c>
      <c r="F934" s="2" t="str">
        <f t="shared" si="164"/>
        <v>０００１</v>
      </c>
      <c r="G934" s="2" t="str">
        <f>"4270005748"</f>
        <v>4270005748</v>
      </c>
      <c r="H934" s="2" t="str">
        <f t="shared" si="171"/>
        <v>001</v>
      </c>
      <c r="I934" s="2" t="str">
        <f>"4280315"</f>
        <v>4280315</v>
      </c>
      <c r="J934" s="2">
        <f>37908</f>
        <v>37908</v>
      </c>
      <c r="K934" s="2" t="str">
        <f t="shared" si="172"/>
        <v>台</v>
      </c>
      <c r="L934" s="2" t="str">
        <f>"4280315"</f>
        <v>4280315</v>
      </c>
      <c r="M934" s="2" t="str">
        <f>"4280315"</f>
        <v>4280315</v>
      </c>
    </row>
    <row r="935" spans="1:13" x14ac:dyDescent="0.15">
      <c r="A935" s="2" t="str">
        <f t="shared" si="161"/>
        <v>1881110500</v>
      </c>
      <c r="B935" s="2" t="str">
        <f t="shared" si="162"/>
        <v>佐伯・区政調整</v>
      </c>
      <c r="C935" s="2" t="str">
        <f>"01ｷ00101"</f>
        <v>01ｷ00101</v>
      </c>
      <c r="D935" s="2" t="str">
        <f>"金庫"</f>
        <v>金庫</v>
      </c>
      <c r="E935" s="3" t="str">
        <f>"オカムラ　ＦＫＨ１ＢＴ－ＺＡ７５"</f>
        <v>オカムラ　ＦＫＨ１ＢＴ－ＺＡ７５</v>
      </c>
      <c r="F935" s="2" t="str">
        <f>"佐伯区民文化センター"</f>
        <v>佐伯区民文化センター</v>
      </c>
      <c r="G935" s="2" t="str">
        <f>"4280003012"</f>
        <v>4280003012</v>
      </c>
      <c r="H935" s="2" t="str">
        <f t="shared" si="171"/>
        <v>001</v>
      </c>
      <c r="I935" s="2" t="str">
        <f>"4281102"</f>
        <v>4281102</v>
      </c>
      <c r="J935" s="2">
        <f>429192</f>
        <v>429192</v>
      </c>
      <c r="K935" s="2" t="str">
        <f t="shared" si="172"/>
        <v>台</v>
      </c>
      <c r="L935" s="2" t="str">
        <f>"4281102"</f>
        <v>4281102</v>
      </c>
      <c r="M935" s="2" t="str">
        <f>"4281102"</f>
        <v>4281102</v>
      </c>
    </row>
    <row r="936" spans="1:13" x14ac:dyDescent="0.15">
      <c r="A936" s="2" t="str">
        <f t="shared" si="161"/>
        <v>1881110500</v>
      </c>
      <c r="B936" s="2" t="str">
        <f t="shared" si="162"/>
        <v>佐伯・区政調整</v>
      </c>
      <c r="C936" s="2" t="str">
        <f t="shared" ref="C936:C946" si="173">"01ｷ00501"</f>
        <v>01ｷ00501</v>
      </c>
      <c r="D936" s="2" t="str">
        <f t="shared" ref="D936:D946" si="174">"キャビネット"</f>
        <v>キャビネット</v>
      </c>
      <c r="E936" s="3" t="str">
        <f t="shared" ref="E936:E946" si="175">"Ｂ４‐４段"</f>
        <v>Ｂ４‐４段</v>
      </c>
      <c r="F936" s="2" t="str">
        <f t="shared" ref="F936:F946" si="176">"０００１"</f>
        <v>０００１</v>
      </c>
      <c r="G936" s="2" t="str">
        <f>"3620004022"</f>
        <v>3620004022</v>
      </c>
      <c r="H936" s="2" t="str">
        <f t="shared" si="171"/>
        <v>001</v>
      </c>
      <c r="I936" s="2" t="str">
        <f t="shared" ref="I936:I946" si="177">"4100401"</f>
        <v>4100401</v>
      </c>
      <c r="J936" s="2">
        <f>28400</f>
        <v>28400</v>
      </c>
      <c r="K936" s="2" t="str">
        <f t="shared" ref="K936:K946" si="178">"個"</f>
        <v>個</v>
      </c>
      <c r="L936" s="2" t="str">
        <f t="shared" ref="L936:L946" si="179">"3630331"</f>
        <v>3630331</v>
      </c>
      <c r="M936" s="2" t="str">
        <f>""</f>
        <v/>
      </c>
    </row>
    <row r="937" spans="1:13" x14ac:dyDescent="0.15">
      <c r="A937" s="2" t="str">
        <f t="shared" si="161"/>
        <v>1881110500</v>
      </c>
      <c r="B937" s="2" t="str">
        <f t="shared" si="162"/>
        <v>佐伯・区政調整</v>
      </c>
      <c r="C937" s="2" t="str">
        <f t="shared" si="173"/>
        <v>01ｷ00501</v>
      </c>
      <c r="D937" s="2" t="str">
        <f t="shared" si="174"/>
        <v>キャビネット</v>
      </c>
      <c r="E937" s="3" t="str">
        <f t="shared" si="175"/>
        <v>Ｂ４‐４段</v>
      </c>
      <c r="F937" s="2" t="str">
        <f t="shared" si="176"/>
        <v>０００１</v>
      </c>
      <c r="G937" s="2" t="str">
        <f>"3620004023"</f>
        <v>3620004023</v>
      </c>
      <c r="H937" s="2" t="str">
        <f t="shared" si="171"/>
        <v>001</v>
      </c>
      <c r="I937" s="2" t="str">
        <f t="shared" si="177"/>
        <v>4100401</v>
      </c>
      <c r="J937" s="2">
        <f>28400</f>
        <v>28400</v>
      </c>
      <c r="K937" s="2" t="str">
        <f t="shared" si="178"/>
        <v>個</v>
      </c>
      <c r="L937" s="2" t="str">
        <f t="shared" si="179"/>
        <v>3630331</v>
      </c>
      <c r="M937" s="2" t="str">
        <f>""</f>
        <v/>
      </c>
    </row>
    <row r="938" spans="1:13" x14ac:dyDescent="0.15">
      <c r="A938" s="2" t="str">
        <f t="shared" si="161"/>
        <v>1881110500</v>
      </c>
      <c r="B938" s="2" t="str">
        <f t="shared" si="162"/>
        <v>佐伯・区政調整</v>
      </c>
      <c r="C938" s="2" t="str">
        <f t="shared" si="173"/>
        <v>01ｷ00501</v>
      </c>
      <c r="D938" s="2" t="str">
        <f t="shared" si="174"/>
        <v>キャビネット</v>
      </c>
      <c r="E938" s="3" t="str">
        <f t="shared" si="175"/>
        <v>Ｂ４‐４段</v>
      </c>
      <c r="F938" s="2" t="str">
        <f t="shared" si="176"/>
        <v>０００１</v>
      </c>
      <c r="G938" s="2" t="str">
        <f>"3620004024"</f>
        <v>3620004024</v>
      </c>
      <c r="H938" s="2" t="str">
        <f t="shared" si="171"/>
        <v>001</v>
      </c>
      <c r="I938" s="2" t="str">
        <f t="shared" si="177"/>
        <v>4100401</v>
      </c>
      <c r="J938" s="2">
        <f>28400</f>
        <v>28400</v>
      </c>
      <c r="K938" s="2" t="str">
        <f t="shared" si="178"/>
        <v>個</v>
      </c>
      <c r="L938" s="2" t="str">
        <f t="shared" si="179"/>
        <v>3630331</v>
      </c>
      <c r="M938" s="2" t="str">
        <f>""</f>
        <v/>
      </c>
    </row>
    <row r="939" spans="1:13" x14ac:dyDescent="0.15">
      <c r="A939" s="2" t="str">
        <f t="shared" si="161"/>
        <v>1881110500</v>
      </c>
      <c r="B939" s="2" t="str">
        <f t="shared" si="162"/>
        <v>佐伯・区政調整</v>
      </c>
      <c r="C939" s="2" t="str">
        <f t="shared" si="173"/>
        <v>01ｷ00501</v>
      </c>
      <c r="D939" s="2" t="str">
        <f t="shared" si="174"/>
        <v>キャビネット</v>
      </c>
      <c r="E939" s="3" t="str">
        <f t="shared" si="175"/>
        <v>Ｂ４‐４段</v>
      </c>
      <c r="F939" s="2" t="str">
        <f t="shared" si="176"/>
        <v>０００１</v>
      </c>
      <c r="G939" s="2" t="str">
        <f>"3620004025"</f>
        <v>3620004025</v>
      </c>
      <c r="H939" s="2" t="str">
        <f t="shared" si="171"/>
        <v>001</v>
      </c>
      <c r="I939" s="2" t="str">
        <f t="shared" si="177"/>
        <v>4100401</v>
      </c>
      <c r="J939" s="2">
        <f>28400</f>
        <v>28400</v>
      </c>
      <c r="K939" s="2" t="str">
        <f t="shared" si="178"/>
        <v>個</v>
      </c>
      <c r="L939" s="2" t="str">
        <f t="shared" si="179"/>
        <v>3630331</v>
      </c>
      <c r="M939" s="2" t="str">
        <f>""</f>
        <v/>
      </c>
    </row>
    <row r="940" spans="1:13" x14ac:dyDescent="0.15">
      <c r="A940" s="2" t="str">
        <f t="shared" si="161"/>
        <v>1881110500</v>
      </c>
      <c r="B940" s="2" t="str">
        <f t="shared" si="162"/>
        <v>佐伯・区政調整</v>
      </c>
      <c r="C940" s="2" t="str">
        <f t="shared" si="173"/>
        <v>01ｷ00501</v>
      </c>
      <c r="D940" s="2" t="str">
        <f t="shared" si="174"/>
        <v>キャビネット</v>
      </c>
      <c r="E940" s="3" t="str">
        <f t="shared" si="175"/>
        <v>Ｂ４‐４段</v>
      </c>
      <c r="F940" s="2" t="str">
        <f t="shared" si="176"/>
        <v>０００１</v>
      </c>
      <c r="G940" s="2" t="str">
        <f>"3620004026"</f>
        <v>3620004026</v>
      </c>
      <c r="H940" s="2" t="str">
        <f t="shared" si="171"/>
        <v>001</v>
      </c>
      <c r="I940" s="2" t="str">
        <f t="shared" si="177"/>
        <v>4100401</v>
      </c>
      <c r="J940" s="2">
        <f>28400</f>
        <v>28400</v>
      </c>
      <c r="K940" s="2" t="str">
        <f t="shared" si="178"/>
        <v>個</v>
      </c>
      <c r="L940" s="2" t="str">
        <f t="shared" si="179"/>
        <v>3630331</v>
      </c>
      <c r="M940" s="2" t="str">
        <f>""</f>
        <v/>
      </c>
    </row>
    <row r="941" spans="1:13" x14ac:dyDescent="0.15">
      <c r="A941" s="2" t="str">
        <f t="shared" si="161"/>
        <v>1881110500</v>
      </c>
      <c r="B941" s="2" t="str">
        <f t="shared" si="162"/>
        <v>佐伯・区政調整</v>
      </c>
      <c r="C941" s="2" t="str">
        <f t="shared" si="173"/>
        <v>01ｷ00501</v>
      </c>
      <c r="D941" s="2" t="str">
        <f t="shared" si="174"/>
        <v>キャビネット</v>
      </c>
      <c r="E941" s="3" t="str">
        <f t="shared" si="175"/>
        <v>Ｂ４‐４段</v>
      </c>
      <c r="F941" s="2" t="str">
        <f t="shared" si="176"/>
        <v>０００１</v>
      </c>
      <c r="G941" s="2" t="str">
        <f>"3620004027"</f>
        <v>3620004027</v>
      </c>
      <c r="H941" s="2" t="str">
        <f t="shared" si="171"/>
        <v>001</v>
      </c>
      <c r="I941" s="2" t="str">
        <f t="shared" si="177"/>
        <v>4100401</v>
      </c>
      <c r="J941" s="2">
        <f>28400</f>
        <v>28400</v>
      </c>
      <c r="K941" s="2" t="str">
        <f t="shared" si="178"/>
        <v>個</v>
      </c>
      <c r="L941" s="2" t="str">
        <f t="shared" si="179"/>
        <v>3630331</v>
      </c>
      <c r="M941" s="2" t="str">
        <f>""</f>
        <v/>
      </c>
    </row>
    <row r="942" spans="1:13" x14ac:dyDescent="0.15">
      <c r="A942" s="2" t="str">
        <f t="shared" si="161"/>
        <v>1881110500</v>
      </c>
      <c r="B942" s="2" t="str">
        <f t="shared" si="162"/>
        <v>佐伯・区政調整</v>
      </c>
      <c r="C942" s="2" t="str">
        <f t="shared" si="173"/>
        <v>01ｷ00501</v>
      </c>
      <c r="D942" s="2" t="str">
        <f t="shared" si="174"/>
        <v>キャビネット</v>
      </c>
      <c r="E942" s="3" t="str">
        <f t="shared" si="175"/>
        <v>Ｂ４‐４段</v>
      </c>
      <c r="F942" s="2" t="str">
        <f t="shared" si="176"/>
        <v>０００１</v>
      </c>
      <c r="G942" s="2" t="str">
        <f>"3620004028"</f>
        <v>3620004028</v>
      </c>
      <c r="H942" s="2" t="str">
        <f t="shared" si="171"/>
        <v>001</v>
      </c>
      <c r="I942" s="2" t="str">
        <f t="shared" si="177"/>
        <v>4100401</v>
      </c>
      <c r="J942" s="2">
        <f>28400</f>
        <v>28400</v>
      </c>
      <c r="K942" s="2" t="str">
        <f t="shared" si="178"/>
        <v>個</v>
      </c>
      <c r="L942" s="2" t="str">
        <f t="shared" si="179"/>
        <v>3630331</v>
      </c>
      <c r="M942" s="2" t="str">
        <f>""</f>
        <v/>
      </c>
    </row>
    <row r="943" spans="1:13" x14ac:dyDescent="0.15">
      <c r="A943" s="2" t="str">
        <f t="shared" si="161"/>
        <v>1881110500</v>
      </c>
      <c r="B943" s="2" t="str">
        <f t="shared" si="162"/>
        <v>佐伯・区政調整</v>
      </c>
      <c r="C943" s="2" t="str">
        <f t="shared" si="173"/>
        <v>01ｷ00501</v>
      </c>
      <c r="D943" s="2" t="str">
        <f t="shared" si="174"/>
        <v>キャビネット</v>
      </c>
      <c r="E943" s="3" t="str">
        <f t="shared" si="175"/>
        <v>Ｂ４‐４段</v>
      </c>
      <c r="F943" s="2" t="str">
        <f t="shared" si="176"/>
        <v>０００１</v>
      </c>
      <c r="G943" s="2" t="str">
        <f>"3620004029"</f>
        <v>3620004029</v>
      </c>
      <c r="H943" s="2" t="str">
        <f t="shared" si="171"/>
        <v>001</v>
      </c>
      <c r="I943" s="2" t="str">
        <f t="shared" si="177"/>
        <v>4100401</v>
      </c>
      <c r="J943" s="2">
        <f>28400</f>
        <v>28400</v>
      </c>
      <c r="K943" s="2" t="str">
        <f t="shared" si="178"/>
        <v>個</v>
      </c>
      <c r="L943" s="2" t="str">
        <f t="shared" si="179"/>
        <v>3630331</v>
      </c>
      <c r="M943" s="2" t="str">
        <f>""</f>
        <v/>
      </c>
    </row>
    <row r="944" spans="1:13" x14ac:dyDescent="0.15">
      <c r="A944" s="2" t="str">
        <f t="shared" si="161"/>
        <v>1881110500</v>
      </c>
      <c r="B944" s="2" t="str">
        <f t="shared" si="162"/>
        <v>佐伯・区政調整</v>
      </c>
      <c r="C944" s="2" t="str">
        <f t="shared" si="173"/>
        <v>01ｷ00501</v>
      </c>
      <c r="D944" s="2" t="str">
        <f t="shared" si="174"/>
        <v>キャビネット</v>
      </c>
      <c r="E944" s="3" t="str">
        <f t="shared" si="175"/>
        <v>Ｂ４‐４段</v>
      </c>
      <c r="F944" s="2" t="str">
        <f t="shared" si="176"/>
        <v>０００１</v>
      </c>
      <c r="G944" s="2" t="str">
        <f>"3620004030"</f>
        <v>3620004030</v>
      </c>
      <c r="H944" s="2" t="str">
        <f t="shared" si="171"/>
        <v>001</v>
      </c>
      <c r="I944" s="2" t="str">
        <f t="shared" si="177"/>
        <v>4100401</v>
      </c>
      <c r="J944" s="2">
        <f>28400</f>
        <v>28400</v>
      </c>
      <c r="K944" s="2" t="str">
        <f t="shared" si="178"/>
        <v>個</v>
      </c>
      <c r="L944" s="2" t="str">
        <f t="shared" si="179"/>
        <v>3630331</v>
      </c>
      <c r="M944" s="2" t="str">
        <f>""</f>
        <v/>
      </c>
    </row>
    <row r="945" spans="1:13" x14ac:dyDescent="0.15">
      <c r="A945" s="2" t="str">
        <f t="shared" si="161"/>
        <v>1881110500</v>
      </c>
      <c r="B945" s="2" t="str">
        <f t="shared" si="162"/>
        <v>佐伯・区政調整</v>
      </c>
      <c r="C945" s="2" t="str">
        <f t="shared" si="173"/>
        <v>01ｷ00501</v>
      </c>
      <c r="D945" s="2" t="str">
        <f t="shared" si="174"/>
        <v>キャビネット</v>
      </c>
      <c r="E945" s="3" t="str">
        <f t="shared" si="175"/>
        <v>Ｂ４‐４段</v>
      </c>
      <c r="F945" s="2" t="str">
        <f t="shared" si="176"/>
        <v>０００１</v>
      </c>
      <c r="G945" s="2" t="str">
        <f>"3620004031"</f>
        <v>3620004031</v>
      </c>
      <c r="H945" s="2" t="str">
        <f t="shared" si="171"/>
        <v>001</v>
      </c>
      <c r="I945" s="2" t="str">
        <f t="shared" si="177"/>
        <v>4100401</v>
      </c>
      <c r="J945" s="2">
        <f>28400</f>
        <v>28400</v>
      </c>
      <c r="K945" s="2" t="str">
        <f t="shared" si="178"/>
        <v>個</v>
      </c>
      <c r="L945" s="2" t="str">
        <f t="shared" si="179"/>
        <v>3630331</v>
      </c>
      <c r="M945" s="2" t="str">
        <f>""</f>
        <v/>
      </c>
    </row>
    <row r="946" spans="1:13" x14ac:dyDescent="0.15">
      <c r="A946" s="2" t="str">
        <f t="shared" si="161"/>
        <v>1881110500</v>
      </c>
      <c r="B946" s="2" t="str">
        <f t="shared" si="162"/>
        <v>佐伯・区政調整</v>
      </c>
      <c r="C946" s="2" t="str">
        <f t="shared" si="173"/>
        <v>01ｷ00501</v>
      </c>
      <c r="D946" s="2" t="str">
        <f t="shared" si="174"/>
        <v>キャビネット</v>
      </c>
      <c r="E946" s="3" t="str">
        <f t="shared" si="175"/>
        <v>Ｂ４‐４段</v>
      </c>
      <c r="F946" s="2" t="str">
        <f t="shared" si="176"/>
        <v>０００１</v>
      </c>
      <c r="G946" s="2" t="str">
        <f>"3620004032"</f>
        <v>3620004032</v>
      </c>
      <c r="H946" s="2" t="str">
        <f t="shared" si="171"/>
        <v>001</v>
      </c>
      <c r="I946" s="2" t="str">
        <f t="shared" si="177"/>
        <v>4100401</v>
      </c>
      <c r="J946" s="2">
        <f>28400</f>
        <v>28400</v>
      </c>
      <c r="K946" s="2" t="str">
        <f t="shared" si="178"/>
        <v>個</v>
      </c>
      <c r="L946" s="2" t="str">
        <f t="shared" si="179"/>
        <v>3630331</v>
      </c>
      <c r="M946" s="2" t="str">
        <f>""</f>
        <v/>
      </c>
    </row>
    <row r="947" spans="1:13" x14ac:dyDescent="0.15">
      <c r="A947" s="2" t="str">
        <f t="shared" ref="A947:A953" si="180">"1881110500"</f>
        <v>1881110500</v>
      </c>
      <c r="B947" s="2" t="str">
        <f t="shared" ref="B947:B953" si="181">"佐伯・区政調整"</f>
        <v>佐伯・区政調整</v>
      </c>
      <c r="C947" s="2" t="str">
        <f t="shared" ref="C947" si="182">"01ｷ00501"</f>
        <v>01ｷ00501</v>
      </c>
      <c r="D947" s="2" t="str">
        <f t="shared" ref="D947" si="183">"キャビネット"</f>
        <v>キャビネット</v>
      </c>
      <c r="E947" s="3" t="str">
        <f>"ＰＵＬＳＥ　Ｆ２０Ｕ　音響ラック"</f>
        <v>ＰＵＬＳＥ　Ｆ２０Ｕ　音響ラック</v>
      </c>
      <c r="F947" s="2" t="str">
        <f t="shared" ref="F947:F953" si="184">"０００１"</f>
        <v>０００１</v>
      </c>
      <c r="G947" s="2" t="str">
        <f>"4270005749"</f>
        <v>4270005749</v>
      </c>
      <c r="H947" s="2" t="str">
        <f t="shared" ref="H947" si="185">"001"</f>
        <v>001</v>
      </c>
      <c r="I947" s="2" t="str">
        <f>"4280315"</f>
        <v>4280315</v>
      </c>
      <c r="J947" s="2">
        <f>77760</f>
        <v>77760</v>
      </c>
      <c r="K947" s="2" t="str">
        <f>"台"</f>
        <v>台</v>
      </c>
      <c r="L947" s="2" t="str">
        <f>"4280315"</f>
        <v>4280315</v>
      </c>
      <c r="M947" s="2" t="str">
        <f>"4280315"</f>
        <v>4280315</v>
      </c>
    </row>
    <row r="948" spans="1:13" x14ac:dyDescent="0.15">
      <c r="A948" s="2" t="str">
        <f t="shared" si="180"/>
        <v>1881110500</v>
      </c>
      <c r="B948" s="2" t="str">
        <f t="shared" si="181"/>
        <v>佐伯・区政調整</v>
      </c>
      <c r="C948" s="2" t="str">
        <f t="shared" ref="C948:C951" si="186">"01ｹ00501"</f>
        <v>01ｹ00501</v>
      </c>
      <c r="D948" s="2" t="str">
        <f t="shared" ref="D948:D951" si="187">"掲示板"</f>
        <v>掲示板</v>
      </c>
      <c r="E948" s="3" t="str">
        <f>"案内板（３４０×４００×１４００）"</f>
        <v>案内板（３４０×４００×１４００）</v>
      </c>
      <c r="F948" s="2" t="str">
        <f t="shared" si="184"/>
        <v>０００１</v>
      </c>
      <c r="G948" s="2" t="str">
        <f>"3620004033"</f>
        <v>3620004033</v>
      </c>
      <c r="H948" s="2" t="str">
        <f t="shared" ref="H948:H951" si="188">"001"</f>
        <v>001</v>
      </c>
      <c r="I948" s="2" t="str">
        <f>"4100401"</f>
        <v>4100401</v>
      </c>
      <c r="J948" s="2">
        <f>20600</f>
        <v>20600</v>
      </c>
      <c r="K948" s="2" t="str">
        <f t="shared" ref="K948:K951" si="189">"台"</f>
        <v>台</v>
      </c>
      <c r="L948" s="2" t="str">
        <f>"3630331"</f>
        <v>3630331</v>
      </c>
      <c r="M948" s="2" t="str">
        <f>""</f>
        <v/>
      </c>
    </row>
    <row r="949" spans="1:13" x14ac:dyDescent="0.15">
      <c r="A949" s="2" t="str">
        <f t="shared" si="180"/>
        <v>1881110500</v>
      </c>
      <c r="B949" s="2" t="str">
        <f t="shared" si="181"/>
        <v>佐伯・区政調整</v>
      </c>
      <c r="C949" s="2" t="str">
        <f t="shared" si="186"/>
        <v>01ｹ00501</v>
      </c>
      <c r="D949" s="2" t="str">
        <f t="shared" si="187"/>
        <v>掲示板</v>
      </c>
      <c r="E949" s="3" t="str">
        <f>"案内板（５００×４２０×１４００）"</f>
        <v>案内板（５００×４２０×１４００）</v>
      </c>
      <c r="F949" s="2" t="str">
        <f t="shared" si="184"/>
        <v>０００１</v>
      </c>
      <c r="G949" s="2" t="str">
        <f>"3620004034"</f>
        <v>3620004034</v>
      </c>
      <c r="H949" s="2" t="str">
        <f t="shared" si="188"/>
        <v>001</v>
      </c>
      <c r="I949" s="2" t="str">
        <f>"4100401"</f>
        <v>4100401</v>
      </c>
      <c r="J949" s="2">
        <f>42200</f>
        <v>42200</v>
      </c>
      <c r="K949" s="2" t="str">
        <f t="shared" si="189"/>
        <v>台</v>
      </c>
      <c r="L949" s="2" t="str">
        <f>"3630331"</f>
        <v>3630331</v>
      </c>
      <c r="M949" s="2" t="str">
        <f>""</f>
        <v/>
      </c>
    </row>
    <row r="950" spans="1:13" x14ac:dyDescent="0.15">
      <c r="A950" s="2" t="str">
        <f t="shared" si="180"/>
        <v>1881110500</v>
      </c>
      <c r="B950" s="2" t="str">
        <f t="shared" si="181"/>
        <v>佐伯・区政調整</v>
      </c>
      <c r="C950" s="2" t="str">
        <f t="shared" si="186"/>
        <v>01ｹ00501</v>
      </c>
      <c r="D950" s="2" t="str">
        <f t="shared" si="187"/>
        <v>掲示板</v>
      </c>
      <c r="E950" s="3" t="str">
        <f>"案内板（５００×４２０×１４００）"</f>
        <v>案内板（５００×４２０×１４００）</v>
      </c>
      <c r="F950" s="2" t="str">
        <f t="shared" si="184"/>
        <v>０００１</v>
      </c>
      <c r="G950" s="2" t="str">
        <f>"3620004035"</f>
        <v>3620004035</v>
      </c>
      <c r="H950" s="2" t="str">
        <f t="shared" si="188"/>
        <v>001</v>
      </c>
      <c r="I950" s="2" t="str">
        <f>"4100401"</f>
        <v>4100401</v>
      </c>
      <c r="J950" s="2">
        <f>42200</f>
        <v>42200</v>
      </c>
      <c r="K950" s="2" t="str">
        <f t="shared" si="189"/>
        <v>台</v>
      </c>
      <c r="L950" s="2" t="str">
        <f>"3630331"</f>
        <v>3630331</v>
      </c>
      <c r="M950" s="2" t="str">
        <f>""</f>
        <v/>
      </c>
    </row>
    <row r="951" spans="1:13" x14ac:dyDescent="0.15">
      <c r="A951" s="2" t="str">
        <f t="shared" si="180"/>
        <v>1881110500</v>
      </c>
      <c r="B951" s="2" t="str">
        <f t="shared" si="181"/>
        <v>佐伯・区政調整</v>
      </c>
      <c r="C951" s="2" t="str">
        <f t="shared" si="186"/>
        <v>01ｹ00501</v>
      </c>
      <c r="D951" s="2" t="str">
        <f t="shared" si="187"/>
        <v>掲示板</v>
      </c>
      <c r="E951" s="3" t="str">
        <f>"ＵＣＨＩＤＡ　ＳＴ－１９１２"</f>
        <v>ＵＣＨＩＤＡ　ＳＴ－１９１２</v>
      </c>
      <c r="F951" s="2" t="str">
        <f t="shared" si="184"/>
        <v>０００１</v>
      </c>
      <c r="G951" s="2" t="str">
        <f>"4230003780"</f>
        <v>4230003780</v>
      </c>
      <c r="H951" s="2" t="str">
        <f t="shared" si="188"/>
        <v>001</v>
      </c>
      <c r="I951" s="2" t="str">
        <f>"4240305"</f>
        <v>4240305</v>
      </c>
      <c r="J951" s="2">
        <f>110000</f>
        <v>110000</v>
      </c>
      <c r="K951" s="2" t="str">
        <f t="shared" si="189"/>
        <v>台</v>
      </c>
      <c r="L951" s="2" t="str">
        <f>"4240305"</f>
        <v>4240305</v>
      </c>
      <c r="M951" s="2" t="str">
        <f>"4240305"</f>
        <v>4240305</v>
      </c>
    </row>
    <row r="952" spans="1:13" x14ac:dyDescent="0.15">
      <c r="A952" s="2" t="str">
        <f t="shared" si="180"/>
        <v>1881110500</v>
      </c>
      <c r="B952" s="2" t="str">
        <f t="shared" si="181"/>
        <v>佐伯・区政調整</v>
      </c>
      <c r="C952" s="2" t="str">
        <f>"01ｼ00101"</f>
        <v>01ｼ00101</v>
      </c>
      <c r="D952" s="2" t="str">
        <f>"書架"</f>
        <v>書架</v>
      </c>
      <c r="E952" s="3" t="str">
        <f>"パンフレットスタンド（コクヨ）"</f>
        <v>パンフレットスタンド（コクヨ）</v>
      </c>
      <c r="F952" s="2" t="str">
        <f t="shared" si="184"/>
        <v>０００１</v>
      </c>
      <c r="G952" s="2" t="str">
        <f>"3620004036"</f>
        <v>3620004036</v>
      </c>
      <c r="H952" s="2" t="str">
        <f t="shared" ref="H952:H960" si="190">"001"</f>
        <v>001</v>
      </c>
      <c r="I952" s="2" t="str">
        <f>"4100401"</f>
        <v>4100401</v>
      </c>
      <c r="J952" s="2">
        <f>31300</f>
        <v>31300</v>
      </c>
      <c r="K952" s="2" t="str">
        <f t="shared" ref="K952:K960" si="191">"個"</f>
        <v>個</v>
      </c>
      <c r="L952" s="2" t="str">
        <f>"3630331"</f>
        <v>3630331</v>
      </c>
      <c r="M952" s="2" t="str">
        <f>""</f>
        <v/>
      </c>
    </row>
    <row r="953" spans="1:13" x14ac:dyDescent="0.15">
      <c r="A953" s="2" t="str">
        <f t="shared" si="180"/>
        <v>1881110500</v>
      </c>
      <c r="B953" s="2" t="str">
        <f t="shared" si="181"/>
        <v>佐伯・区政調整</v>
      </c>
      <c r="C953" s="2" t="str">
        <f>"01ｼ00101"</f>
        <v>01ｼ00101</v>
      </c>
      <c r="D953" s="2" t="str">
        <f>"書架"</f>
        <v>書架</v>
      </c>
      <c r="E953" s="3" t="str">
        <f>"パンフレットスタンド（コクヨ）"</f>
        <v>パンフレットスタンド（コクヨ）</v>
      </c>
      <c r="F953" s="2" t="str">
        <f t="shared" si="184"/>
        <v>０００１</v>
      </c>
      <c r="G953" s="2" t="str">
        <f>"3620004037"</f>
        <v>3620004037</v>
      </c>
      <c r="H953" s="2" t="str">
        <f t="shared" si="190"/>
        <v>001</v>
      </c>
      <c r="I953" s="2" t="str">
        <f>"4100401"</f>
        <v>4100401</v>
      </c>
      <c r="J953" s="2">
        <f>31300</f>
        <v>31300</v>
      </c>
      <c r="K953" s="2" t="str">
        <f t="shared" si="191"/>
        <v>個</v>
      </c>
      <c r="L953" s="2" t="str">
        <f>"3630331"</f>
        <v>3630331</v>
      </c>
      <c r="M953" s="2" t="str">
        <f>""</f>
        <v/>
      </c>
    </row>
    <row r="954" spans="1:13" x14ac:dyDescent="0.15">
      <c r="A954" s="2" t="str">
        <f t="shared" ref="A954:A962" si="192">"1881110500"</f>
        <v>1881110500</v>
      </c>
      <c r="B954" s="2" t="str">
        <f t="shared" ref="B954:B962" si="193">"佐伯・区政調整"</f>
        <v>佐伯・区政調整</v>
      </c>
      <c r="C954" s="2" t="str">
        <f t="shared" ref="C954:C960" si="194">"01ｼ00103"</f>
        <v>01ｼ00103</v>
      </c>
      <c r="D954" s="2" t="str">
        <f t="shared" ref="D954:D960" si="195">"パンフレットスタンド"</f>
        <v>パンフレットスタンド</v>
      </c>
      <c r="E954" s="3" t="str">
        <f t="shared" ref="E954:E960" si="196">"ＵＣＨＩＤＡ　３列６段"</f>
        <v>ＵＣＨＩＤＡ　３列６段</v>
      </c>
      <c r="F954" s="2" t="str">
        <f t="shared" ref="F954:F960" si="197">"０００１"</f>
        <v>０００１</v>
      </c>
      <c r="G954" s="2" t="str">
        <f>"4190005445"</f>
        <v>4190005445</v>
      </c>
      <c r="H954" s="2" t="str">
        <f t="shared" si="190"/>
        <v>001</v>
      </c>
      <c r="I954" s="2" t="str">
        <f>"4200213"</f>
        <v>4200213</v>
      </c>
      <c r="J954" s="2">
        <f>40845</f>
        <v>40845</v>
      </c>
      <c r="K954" s="2" t="str">
        <f t="shared" si="191"/>
        <v>個</v>
      </c>
      <c r="L954" s="2" t="str">
        <f>"4200213"</f>
        <v>4200213</v>
      </c>
      <c r="M954" s="2" t="str">
        <f>"4200213"</f>
        <v>4200213</v>
      </c>
    </row>
    <row r="955" spans="1:13" x14ac:dyDescent="0.15">
      <c r="A955" s="2" t="str">
        <f t="shared" si="192"/>
        <v>1881110500</v>
      </c>
      <c r="B955" s="2" t="str">
        <f t="shared" si="193"/>
        <v>佐伯・区政調整</v>
      </c>
      <c r="C955" s="2" t="str">
        <f t="shared" si="194"/>
        <v>01ｼ00103</v>
      </c>
      <c r="D955" s="2" t="str">
        <f t="shared" si="195"/>
        <v>パンフレットスタンド</v>
      </c>
      <c r="E955" s="3" t="str">
        <f t="shared" si="196"/>
        <v>ＵＣＨＩＤＡ　３列６段</v>
      </c>
      <c r="F955" s="2" t="str">
        <f t="shared" si="197"/>
        <v>０００１</v>
      </c>
      <c r="G955" s="2" t="str">
        <f>"4190005446"</f>
        <v>4190005446</v>
      </c>
      <c r="H955" s="2" t="str">
        <f t="shared" si="190"/>
        <v>001</v>
      </c>
      <c r="I955" s="2" t="str">
        <f>"4200213"</f>
        <v>4200213</v>
      </c>
      <c r="J955" s="2">
        <f>40845</f>
        <v>40845</v>
      </c>
      <c r="K955" s="2" t="str">
        <f t="shared" si="191"/>
        <v>個</v>
      </c>
      <c r="L955" s="2" t="str">
        <f>"4200213"</f>
        <v>4200213</v>
      </c>
      <c r="M955" s="2" t="str">
        <f>"4200213"</f>
        <v>4200213</v>
      </c>
    </row>
    <row r="956" spans="1:13" x14ac:dyDescent="0.15">
      <c r="A956" s="2" t="str">
        <f t="shared" si="192"/>
        <v>1881110500</v>
      </c>
      <c r="B956" s="2" t="str">
        <f t="shared" si="193"/>
        <v>佐伯・区政調整</v>
      </c>
      <c r="C956" s="2" t="str">
        <f t="shared" si="194"/>
        <v>01ｼ00103</v>
      </c>
      <c r="D956" s="2" t="str">
        <f t="shared" si="195"/>
        <v>パンフレットスタンド</v>
      </c>
      <c r="E956" s="3" t="str">
        <f t="shared" si="196"/>
        <v>ＵＣＨＩＤＡ　３列６段</v>
      </c>
      <c r="F956" s="2" t="str">
        <f t="shared" si="197"/>
        <v>０００１</v>
      </c>
      <c r="G956" s="2" t="str">
        <f>"4190005447"</f>
        <v>4190005447</v>
      </c>
      <c r="H956" s="2" t="str">
        <f t="shared" si="190"/>
        <v>001</v>
      </c>
      <c r="I956" s="2" t="str">
        <f>"4200213"</f>
        <v>4200213</v>
      </c>
      <c r="J956" s="2">
        <f>40845</f>
        <v>40845</v>
      </c>
      <c r="K956" s="2" t="str">
        <f t="shared" si="191"/>
        <v>個</v>
      </c>
      <c r="L956" s="2" t="str">
        <f>"4200213"</f>
        <v>4200213</v>
      </c>
      <c r="M956" s="2" t="str">
        <f>"4200213"</f>
        <v>4200213</v>
      </c>
    </row>
    <row r="957" spans="1:13" x14ac:dyDescent="0.15">
      <c r="A957" s="2" t="str">
        <f t="shared" si="192"/>
        <v>1881110500</v>
      </c>
      <c r="B957" s="2" t="str">
        <f t="shared" si="193"/>
        <v>佐伯・区政調整</v>
      </c>
      <c r="C957" s="2" t="str">
        <f t="shared" si="194"/>
        <v>01ｼ00103</v>
      </c>
      <c r="D957" s="2" t="str">
        <f t="shared" si="195"/>
        <v>パンフレットスタンド</v>
      </c>
      <c r="E957" s="3" t="str">
        <f t="shared" si="196"/>
        <v>ＵＣＨＩＤＡ　３列６段</v>
      </c>
      <c r="F957" s="2" t="str">
        <f t="shared" si="197"/>
        <v>０００１</v>
      </c>
      <c r="G957" s="2" t="str">
        <f>"4190005448"</f>
        <v>4190005448</v>
      </c>
      <c r="H957" s="2" t="str">
        <f t="shared" si="190"/>
        <v>001</v>
      </c>
      <c r="I957" s="2" t="str">
        <f>"4200213"</f>
        <v>4200213</v>
      </c>
      <c r="J957" s="2">
        <f>40845</f>
        <v>40845</v>
      </c>
      <c r="K957" s="2" t="str">
        <f t="shared" si="191"/>
        <v>個</v>
      </c>
      <c r="L957" s="2" t="str">
        <f>"4200213"</f>
        <v>4200213</v>
      </c>
      <c r="M957" s="2" t="str">
        <f>"4200213"</f>
        <v>4200213</v>
      </c>
    </row>
    <row r="958" spans="1:13" x14ac:dyDescent="0.15">
      <c r="A958" s="2" t="str">
        <f t="shared" si="192"/>
        <v>1881110500</v>
      </c>
      <c r="B958" s="2" t="str">
        <f t="shared" si="193"/>
        <v>佐伯・区政調整</v>
      </c>
      <c r="C958" s="2" t="str">
        <f t="shared" si="194"/>
        <v>01ｼ00103</v>
      </c>
      <c r="D958" s="2" t="str">
        <f t="shared" si="195"/>
        <v>パンフレットスタンド</v>
      </c>
      <c r="E958" s="3" t="str">
        <f t="shared" si="196"/>
        <v>ＵＣＨＩＤＡ　３列６段</v>
      </c>
      <c r="F958" s="2" t="str">
        <f t="shared" si="197"/>
        <v>０００１</v>
      </c>
      <c r="G958" s="2" t="str">
        <f>"4190005449"</f>
        <v>4190005449</v>
      </c>
      <c r="H958" s="2" t="str">
        <f t="shared" si="190"/>
        <v>001</v>
      </c>
      <c r="I958" s="2" t="str">
        <f>"4200328"</f>
        <v>4200328</v>
      </c>
      <c r="J958" s="2">
        <f>40845</f>
        <v>40845</v>
      </c>
      <c r="K958" s="2" t="str">
        <f t="shared" si="191"/>
        <v>個</v>
      </c>
      <c r="L958" s="2" t="str">
        <f>"4200328"</f>
        <v>4200328</v>
      </c>
      <c r="M958" s="2" t="str">
        <f>"4200328"</f>
        <v>4200328</v>
      </c>
    </row>
    <row r="959" spans="1:13" x14ac:dyDescent="0.15">
      <c r="A959" s="2" t="str">
        <f t="shared" si="192"/>
        <v>1881110500</v>
      </c>
      <c r="B959" s="2" t="str">
        <f t="shared" si="193"/>
        <v>佐伯・区政調整</v>
      </c>
      <c r="C959" s="2" t="str">
        <f t="shared" si="194"/>
        <v>01ｼ00103</v>
      </c>
      <c r="D959" s="2" t="str">
        <f t="shared" si="195"/>
        <v>パンフレットスタンド</v>
      </c>
      <c r="E959" s="3" t="str">
        <f t="shared" si="196"/>
        <v>ＵＣＨＩＤＡ　３列６段</v>
      </c>
      <c r="F959" s="2" t="str">
        <f t="shared" si="197"/>
        <v>０００１</v>
      </c>
      <c r="G959" s="2" t="str">
        <f>"4190005450"</f>
        <v>4190005450</v>
      </c>
      <c r="H959" s="2" t="str">
        <f t="shared" si="190"/>
        <v>001</v>
      </c>
      <c r="I959" s="2" t="str">
        <f>"4200328"</f>
        <v>4200328</v>
      </c>
      <c r="J959" s="2">
        <f>40845</f>
        <v>40845</v>
      </c>
      <c r="K959" s="2" t="str">
        <f t="shared" si="191"/>
        <v>個</v>
      </c>
      <c r="L959" s="2" t="str">
        <f>"4200328"</f>
        <v>4200328</v>
      </c>
      <c r="M959" s="2" t="str">
        <f>"4200328"</f>
        <v>4200328</v>
      </c>
    </row>
    <row r="960" spans="1:13" x14ac:dyDescent="0.15">
      <c r="A960" s="2" t="str">
        <f t="shared" si="192"/>
        <v>1881110500</v>
      </c>
      <c r="B960" s="2" t="str">
        <f t="shared" si="193"/>
        <v>佐伯・区政調整</v>
      </c>
      <c r="C960" s="2" t="str">
        <f t="shared" si="194"/>
        <v>01ｼ00103</v>
      </c>
      <c r="D960" s="2" t="str">
        <f t="shared" si="195"/>
        <v>パンフレットスタンド</v>
      </c>
      <c r="E960" s="3" t="str">
        <f t="shared" si="196"/>
        <v>ＵＣＨＩＤＡ　３列６段</v>
      </c>
      <c r="F960" s="2" t="str">
        <f t="shared" si="197"/>
        <v>０００１</v>
      </c>
      <c r="G960" s="2" t="str">
        <f>"4190005451"</f>
        <v>4190005451</v>
      </c>
      <c r="H960" s="2" t="str">
        <f t="shared" si="190"/>
        <v>001</v>
      </c>
      <c r="I960" s="2" t="str">
        <f>"4200328"</f>
        <v>4200328</v>
      </c>
      <c r="J960" s="2">
        <f>40845</f>
        <v>40845</v>
      </c>
      <c r="K960" s="2" t="str">
        <f t="shared" si="191"/>
        <v>個</v>
      </c>
      <c r="L960" s="2" t="str">
        <f>"4200328"</f>
        <v>4200328</v>
      </c>
      <c r="M960" s="2" t="str">
        <f>"4200328"</f>
        <v>4200328</v>
      </c>
    </row>
    <row r="961" spans="1:13" x14ac:dyDescent="0.15">
      <c r="A961" s="2" t="str">
        <f t="shared" si="192"/>
        <v>1881110500</v>
      </c>
      <c r="B961" s="2" t="str">
        <f t="shared" si="193"/>
        <v>佐伯・区政調整</v>
      </c>
      <c r="C961" s="2" t="str">
        <f>"01ﾂ00101"</f>
        <v>01ﾂ00101</v>
      </c>
      <c r="D961" s="2" t="str">
        <f>"机"</f>
        <v>机</v>
      </c>
      <c r="E961" s="3" t="str">
        <f>"会議用テーブル"</f>
        <v>会議用テーブル</v>
      </c>
      <c r="F961" s="2" t="str">
        <f>"０００１"</f>
        <v>０００１</v>
      </c>
      <c r="G961" s="2" t="str">
        <f>"3620004040"</f>
        <v>3620004040</v>
      </c>
      <c r="H961" s="2" t="str">
        <f t="shared" ref="H961:H962" si="198">"001"</f>
        <v>001</v>
      </c>
      <c r="I961" s="2" t="str">
        <f>"4100401"</f>
        <v>4100401</v>
      </c>
      <c r="J961" s="2">
        <f>367000</f>
        <v>367000</v>
      </c>
      <c r="K961" s="2" t="str">
        <f t="shared" ref="K961:K962" si="199">"脚"</f>
        <v>脚</v>
      </c>
      <c r="L961" s="2" t="str">
        <f>"3630331"</f>
        <v>3630331</v>
      </c>
      <c r="M961" s="2" t="str">
        <f>""</f>
        <v/>
      </c>
    </row>
    <row r="962" spans="1:13" x14ac:dyDescent="0.15">
      <c r="A962" s="2" t="str">
        <f t="shared" si="192"/>
        <v>1881110500</v>
      </c>
      <c r="B962" s="2" t="str">
        <f t="shared" si="193"/>
        <v>佐伯・区政調整</v>
      </c>
      <c r="C962" s="2" t="str">
        <f>"01ﾂ00101"</f>
        <v>01ﾂ00101</v>
      </c>
      <c r="D962" s="2" t="str">
        <f>"机"</f>
        <v>机</v>
      </c>
      <c r="E962" s="3" t="str">
        <f>"レコードプレーヤ用テーブル"</f>
        <v>レコードプレーヤ用テーブル</v>
      </c>
      <c r="F962" s="2" t="str">
        <f>"０００１"</f>
        <v>０００１</v>
      </c>
      <c r="G962" s="2" t="str">
        <f>"3620004041"</f>
        <v>3620004041</v>
      </c>
      <c r="H962" s="2" t="str">
        <f t="shared" si="198"/>
        <v>001</v>
      </c>
      <c r="I962" s="2" t="str">
        <f>"4100401"</f>
        <v>4100401</v>
      </c>
      <c r="J962" s="2">
        <f>37500</f>
        <v>37500</v>
      </c>
      <c r="K962" s="2" t="str">
        <f t="shared" si="199"/>
        <v>脚</v>
      </c>
      <c r="L962" s="2" t="str">
        <f>"3630331"</f>
        <v>3630331</v>
      </c>
      <c r="M962" s="2" t="str">
        <f>""</f>
        <v/>
      </c>
    </row>
    <row r="963" spans="1:13" x14ac:dyDescent="0.15">
      <c r="A963" s="2" t="str">
        <f t="shared" ref="A963:A987" si="200">"1881110500"</f>
        <v>1881110500</v>
      </c>
      <c r="B963" s="2" t="str">
        <f t="shared" ref="B963:B987" si="201">"佐伯・区政調整"</f>
        <v>佐伯・区政調整</v>
      </c>
      <c r="C963" s="2" t="str">
        <f t="shared" ref="C963:C986" si="202">"01ﾂ00108"</f>
        <v>01ﾂ00108</v>
      </c>
      <c r="D963" s="2" t="str">
        <f t="shared" ref="D963:D986" si="203">"長机"</f>
        <v>長机</v>
      </c>
      <c r="E963" s="3" t="str">
        <f t="shared" ref="E963:E985" si="204">"折たたみ幕板付"</f>
        <v>折たたみ幕板付</v>
      </c>
      <c r="F963" s="2" t="str">
        <f t="shared" ref="F963:F994" si="205">"０００１"</f>
        <v>０００１</v>
      </c>
      <c r="G963" s="2" t="str">
        <f>"3620004095"</f>
        <v>3620004095</v>
      </c>
      <c r="H963" s="2" t="str">
        <f t="shared" ref="H963:H973" si="206">"001"</f>
        <v>001</v>
      </c>
      <c r="I963" s="2" t="str">
        <f t="shared" ref="I963:I985" si="207">"4100401"</f>
        <v>4100401</v>
      </c>
      <c r="J963" s="2">
        <f>23300</f>
        <v>23300</v>
      </c>
      <c r="K963" s="2" t="str">
        <f t="shared" ref="K963:K973" si="208">"脚"</f>
        <v>脚</v>
      </c>
      <c r="L963" s="2" t="str">
        <f t="shared" ref="L963:L985" si="209">"3630331"</f>
        <v>3630331</v>
      </c>
      <c r="M963" s="2" t="str">
        <f>""</f>
        <v/>
      </c>
    </row>
    <row r="964" spans="1:13" x14ac:dyDescent="0.15">
      <c r="A964" s="2" t="str">
        <f t="shared" si="200"/>
        <v>1881110500</v>
      </c>
      <c r="B964" s="2" t="str">
        <f t="shared" si="201"/>
        <v>佐伯・区政調整</v>
      </c>
      <c r="C964" s="2" t="str">
        <f t="shared" si="202"/>
        <v>01ﾂ00108</v>
      </c>
      <c r="D964" s="2" t="str">
        <f t="shared" si="203"/>
        <v>長机</v>
      </c>
      <c r="E964" s="3" t="str">
        <f t="shared" si="204"/>
        <v>折たたみ幕板付</v>
      </c>
      <c r="F964" s="2" t="str">
        <f t="shared" si="205"/>
        <v>０００１</v>
      </c>
      <c r="G964" s="2" t="str">
        <f>"3620004096"</f>
        <v>3620004096</v>
      </c>
      <c r="H964" s="2" t="str">
        <f t="shared" si="206"/>
        <v>001</v>
      </c>
      <c r="I964" s="2" t="str">
        <f t="shared" si="207"/>
        <v>4100401</v>
      </c>
      <c r="J964" s="2">
        <f>23300</f>
        <v>23300</v>
      </c>
      <c r="K964" s="2" t="str">
        <f t="shared" si="208"/>
        <v>脚</v>
      </c>
      <c r="L964" s="2" t="str">
        <f t="shared" si="209"/>
        <v>3630331</v>
      </c>
      <c r="M964" s="2" t="str">
        <f>""</f>
        <v/>
      </c>
    </row>
    <row r="965" spans="1:13" x14ac:dyDescent="0.15">
      <c r="A965" s="2" t="str">
        <f t="shared" si="200"/>
        <v>1881110500</v>
      </c>
      <c r="B965" s="2" t="str">
        <f t="shared" si="201"/>
        <v>佐伯・区政調整</v>
      </c>
      <c r="C965" s="2" t="str">
        <f t="shared" si="202"/>
        <v>01ﾂ00108</v>
      </c>
      <c r="D965" s="2" t="str">
        <f t="shared" si="203"/>
        <v>長机</v>
      </c>
      <c r="E965" s="3" t="str">
        <f t="shared" si="204"/>
        <v>折たたみ幕板付</v>
      </c>
      <c r="F965" s="2" t="str">
        <f t="shared" si="205"/>
        <v>０００１</v>
      </c>
      <c r="G965" s="2" t="str">
        <f>"3620004097"</f>
        <v>3620004097</v>
      </c>
      <c r="H965" s="2" t="str">
        <f t="shared" si="206"/>
        <v>001</v>
      </c>
      <c r="I965" s="2" t="str">
        <f t="shared" si="207"/>
        <v>4100401</v>
      </c>
      <c r="J965" s="2">
        <f>23300</f>
        <v>23300</v>
      </c>
      <c r="K965" s="2" t="str">
        <f t="shared" si="208"/>
        <v>脚</v>
      </c>
      <c r="L965" s="2" t="str">
        <f t="shared" si="209"/>
        <v>3630331</v>
      </c>
      <c r="M965" s="2" t="str">
        <f>""</f>
        <v/>
      </c>
    </row>
    <row r="966" spans="1:13" x14ac:dyDescent="0.15">
      <c r="A966" s="2" t="str">
        <f t="shared" si="200"/>
        <v>1881110500</v>
      </c>
      <c r="B966" s="2" t="str">
        <f t="shared" si="201"/>
        <v>佐伯・区政調整</v>
      </c>
      <c r="C966" s="2" t="str">
        <f t="shared" si="202"/>
        <v>01ﾂ00108</v>
      </c>
      <c r="D966" s="2" t="str">
        <f t="shared" si="203"/>
        <v>長机</v>
      </c>
      <c r="E966" s="3" t="str">
        <f t="shared" si="204"/>
        <v>折たたみ幕板付</v>
      </c>
      <c r="F966" s="2" t="str">
        <f t="shared" si="205"/>
        <v>０００１</v>
      </c>
      <c r="G966" s="2" t="str">
        <f>"3620004098"</f>
        <v>3620004098</v>
      </c>
      <c r="H966" s="2" t="str">
        <f t="shared" si="206"/>
        <v>001</v>
      </c>
      <c r="I966" s="2" t="str">
        <f t="shared" si="207"/>
        <v>4100401</v>
      </c>
      <c r="J966" s="2">
        <f>23300</f>
        <v>23300</v>
      </c>
      <c r="K966" s="2" t="str">
        <f t="shared" si="208"/>
        <v>脚</v>
      </c>
      <c r="L966" s="2" t="str">
        <f t="shared" si="209"/>
        <v>3630331</v>
      </c>
      <c r="M966" s="2" t="str">
        <f>""</f>
        <v/>
      </c>
    </row>
    <row r="967" spans="1:13" x14ac:dyDescent="0.15">
      <c r="A967" s="2" t="str">
        <f t="shared" si="200"/>
        <v>1881110500</v>
      </c>
      <c r="B967" s="2" t="str">
        <f t="shared" si="201"/>
        <v>佐伯・区政調整</v>
      </c>
      <c r="C967" s="2" t="str">
        <f t="shared" si="202"/>
        <v>01ﾂ00108</v>
      </c>
      <c r="D967" s="2" t="str">
        <f t="shared" si="203"/>
        <v>長机</v>
      </c>
      <c r="E967" s="3" t="str">
        <f t="shared" si="204"/>
        <v>折たたみ幕板付</v>
      </c>
      <c r="F967" s="2" t="str">
        <f t="shared" si="205"/>
        <v>０００１</v>
      </c>
      <c r="G967" s="2" t="str">
        <f>"3620004099"</f>
        <v>3620004099</v>
      </c>
      <c r="H967" s="2" t="str">
        <f t="shared" si="206"/>
        <v>001</v>
      </c>
      <c r="I967" s="2" t="str">
        <f t="shared" si="207"/>
        <v>4100401</v>
      </c>
      <c r="J967" s="2">
        <f>23300</f>
        <v>23300</v>
      </c>
      <c r="K967" s="2" t="str">
        <f t="shared" si="208"/>
        <v>脚</v>
      </c>
      <c r="L967" s="2" t="str">
        <f t="shared" si="209"/>
        <v>3630331</v>
      </c>
      <c r="M967" s="2" t="str">
        <f>""</f>
        <v/>
      </c>
    </row>
    <row r="968" spans="1:13" x14ac:dyDescent="0.15">
      <c r="A968" s="2" t="str">
        <f t="shared" si="200"/>
        <v>1881110500</v>
      </c>
      <c r="B968" s="2" t="str">
        <f t="shared" si="201"/>
        <v>佐伯・区政調整</v>
      </c>
      <c r="C968" s="2" t="str">
        <f t="shared" si="202"/>
        <v>01ﾂ00108</v>
      </c>
      <c r="D968" s="2" t="str">
        <f t="shared" si="203"/>
        <v>長机</v>
      </c>
      <c r="E968" s="3" t="str">
        <f t="shared" si="204"/>
        <v>折たたみ幕板付</v>
      </c>
      <c r="F968" s="2" t="str">
        <f t="shared" si="205"/>
        <v>０００１</v>
      </c>
      <c r="G968" s="2" t="str">
        <f>"3620004100"</f>
        <v>3620004100</v>
      </c>
      <c r="H968" s="2" t="str">
        <f t="shared" si="206"/>
        <v>001</v>
      </c>
      <c r="I968" s="2" t="str">
        <f t="shared" si="207"/>
        <v>4100401</v>
      </c>
      <c r="J968" s="2">
        <f>23300</f>
        <v>23300</v>
      </c>
      <c r="K968" s="2" t="str">
        <f t="shared" si="208"/>
        <v>脚</v>
      </c>
      <c r="L968" s="2" t="str">
        <f t="shared" si="209"/>
        <v>3630331</v>
      </c>
      <c r="M968" s="2" t="str">
        <f>""</f>
        <v/>
      </c>
    </row>
    <row r="969" spans="1:13" x14ac:dyDescent="0.15">
      <c r="A969" s="2" t="str">
        <f t="shared" si="200"/>
        <v>1881110500</v>
      </c>
      <c r="B969" s="2" t="str">
        <f t="shared" si="201"/>
        <v>佐伯・区政調整</v>
      </c>
      <c r="C969" s="2" t="str">
        <f t="shared" si="202"/>
        <v>01ﾂ00108</v>
      </c>
      <c r="D969" s="2" t="str">
        <f t="shared" si="203"/>
        <v>長机</v>
      </c>
      <c r="E969" s="3" t="str">
        <f t="shared" si="204"/>
        <v>折たたみ幕板付</v>
      </c>
      <c r="F969" s="2" t="str">
        <f t="shared" si="205"/>
        <v>０００１</v>
      </c>
      <c r="G969" s="2" t="str">
        <f>"3620004101"</f>
        <v>3620004101</v>
      </c>
      <c r="H969" s="2" t="str">
        <f t="shared" si="206"/>
        <v>001</v>
      </c>
      <c r="I969" s="2" t="str">
        <f t="shared" si="207"/>
        <v>4100401</v>
      </c>
      <c r="J969" s="2">
        <f>23300</f>
        <v>23300</v>
      </c>
      <c r="K969" s="2" t="str">
        <f t="shared" si="208"/>
        <v>脚</v>
      </c>
      <c r="L969" s="2" t="str">
        <f t="shared" si="209"/>
        <v>3630331</v>
      </c>
      <c r="M969" s="2" t="str">
        <f>""</f>
        <v/>
      </c>
    </row>
    <row r="970" spans="1:13" x14ac:dyDescent="0.15">
      <c r="A970" s="2" t="str">
        <f t="shared" si="200"/>
        <v>1881110500</v>
      </c>
      <c r="B970" s="2" t="str">
        <f t="shared" si="201"/>
        <v>佐伯・区政調整</v>
      </c>
      <c r="C970" s="2" t="str">
        <f t="shared" si="202"/>
        <v>01ﾂ00108</v>
      </c>
      <c r="D970" s="2" t="str">
        <f t="shared" si="203"/>
        <v>長机</v>
      </c>
      <c r="E970" s="3" t="str">
        <f t="shared" si="204"/>
        <v>折たたみ幕板付</v>
      </c>
      <c r="F970" s="2" t="str">
        <f t="shared" si="205"/>
        <v>０００１</v>
      </c>
      <c r="G970" s="2" t="str">
        <f>"3620004102"</f>
        <v>3620004102</v>
      </c>
      <c r="H970" s="2" t="str">
        <f t="shared" si="206"/>
        <v>001</v>
      </c>
      <c r="I970" s="2" t="str">
        <f t="shared" si="207"/>
        <v>4100401</v>
      </c>
      <c r="J970" s="2">
        <f>23300</f>
        <v>23300</v>
      </c>
      <c r="K970" s="2" t="str">
        <f t="shared" si="208"/>
        <v>脚</v>
      </c>
      <c r="L970" s="2" t="str">
        <f t="shared" si="209"/>
        <v>3630331</v>
      </c>
      <c r="M970" s="2" t="str">
        <f>""</f>
        <v/>
      </c>
    </row>
    <row r="971" spans="1:13" x14ac:dyDescent="0.15">
      <c r="A971" s="2" t="str">
        <f t="shared" si="200"/>
        <v>1881110500</v>
      </c>
      <c r="B971" s="2" t="str">
        <f t="shared" si="201"/>
        <v>佐伯・区政調整</v>
      </c>
      <c r="C971" s="2" t="str">
        <f t="shared" si="202"/>
        <v>01ﾂ00108</v>
      </c>
      <c r="D971" s="2" t="str">
        <f t="shared" si="203"/>
        <v>長机</v>
      </c>
      <c r="E971" s="3" t="str">
        <f t="shared" si="204"/>
        <v>折たたみ幕板付</v>
      </c>
      <c r="F971" s="2" t="str">
        <f t="shared" si="205"/>
        <v>０００１</v>
      </c>
      <c r="G971" s="2" t="str">
        <f>"3620004103"</f>
        <v>3620004103</v>
      </c>
      <c r="H971" s="2" t="str">
        <f t="shared" si="206"/>
        <v>001</v>
      </c>
      <c r="I971" s="2" t="str">
        <f t="shared" si="207"/>
        <v>4100401</v>
      </c>
      <c r="J971" s="2">
        <f>23300</f>
        <v>23300</v>
      </c>
      <c r="K971" s="2" t="str">
        <f t="shared" si="208"/>
        <v>脚</v>
      </c>
      <c r="L971" s="2" t="str">
        <f t="shared" si="209"/>
        <v>3630331</v>
      </c>
      <c r="M971" s="2" t="str">
        <f>""</f>
        <v/>
      </c>
    </row>
    <row r="972" spans="1:13" x14ac:dyDescent="0.15">
      <c r="A972" s="2" t="str">
        <f t="shared" si="200"/>
        <v>1881110500</v>
      </c>
      <c r="B972" s="2" t="str">
        <f t="shared" si="201"/>
        <v>佐伯・区政調整</v>
      </c>
      <c r="C972" s="2" t="str">
        <f t="shared" si="202"/>
        <v>01ﾂ00108</v>
      </c>
      <c r="D972" s="2" t="str">
        <f t="shared" si="203"/>
        <v>長机</v>
      </c>
      <c r="E972" s="3" t="str">
        <f t="shared" si="204"/>
        <v>折たたみ幕板付</v>
      </c>
      <c r="F972" s="2" t="str">
        <f t="shared" si="205"/>
        <v>０００１</v>
      </c>
      <c r="G972" s="2" t="str">
        <f>"3620004104"</f>
        <v>3620004104</v>
      </c>
      <c r="H972" s="2" t="str">
        <f t="shared" si="206"/>
        <v>001</v>
      </c>
      <c r="I972" s="2" t="str">
        <f t="shared" si="207"/>
        <v>4100401</v>
      </c>
      <c r="J972" s="2">
        <f>23300</f>
        <v>23300</v>
      </c>
      <c r="K972" s="2" t="str">
        <f t="shared" si="208"/>
        <v>脚</v>
      </c>
      <c r="L972" s="2" t="str">
        <f t="shared" si="209"/>
        <v>3630331</v>
      </c>
      <c r="M972" s="2" t="str">
        <f>""</f>
        <v/>
      </c>
    </row>
    <row r="973" spans="1:13" x14ac:dyDescent="0.15">
      <c r="A973" s="2" t="str">
        <f t="shared" si="200"/>
        <v>1881110500</v>
      </c>
      <c r="B973" s="2" t="str">
        <f t="shared" si="201"/>
        <v>佐伯・区政調整</v>
      </c>
      <c r="C973" s="2" t="str">
        <f t="shared" si="202"/>
        <v>01ﾂ00108</v>
      </c>
      <c r="D973" s="2" t="str">
        <f t="shared" si="203"/>
        <v>長机</v>
      </c>
      <c r="E973" s="3" t="str">
        <f t="shared" si="204"/>
        <v>折たたみ幕板付</v>
      </c>
      <c r="F973" s="2" t="str">
        <f t="shared" si="205"/>
        <v>０００１</v>
      </c>
      <c r="G973" s="2" t="str">
        <f>"3620004105"</f>
        <v>3620004105</v>
      </c>
      <c r="H973" s="2" t="str">
        <f t="shared" si="206"/>
        <v>001</v>
      </c>
      <c r="I973" s="2" t="str">
        <f t="shared" si="207"/>
        <v>4100401</v>
      </c>
      <c r="J973" s="2">
        <f>23300</f>
        <v>23300</v>
      </c>
      <c r="K973" s="2" t="str">
        <f t="shared" si="208"/>
        <v>脚</v>
      </c>
      <c r="L973" s="2" t="str">
        <f t="shared" si="209"/>
        <v>3630331</v>
      </c>
      <c r="M973" s="2" t="str">
        <f>""</f>
        <v/>
      </c>
    </row>
    <row r="974" spans="1:13" x14ac:dyDescent="0.15">
      <c r="A974" s="2" t="str">
        <f t="shared" si="200"/>
        <v>1881110500</v>
      </c>
      <c r="B974" s="2" t="str">
        <f t="shared" si="201"/>
        <v>佐伯・区政調整</v>
      </c>
      <c r="C974" s="2" t="str">
        <f t="shared" si="202"/>
        <v>01ﾂ00108</v>
      </c>
      <c r="D974" s="2" t="str">
        <f t="shared" si="203"/>
        <v>長机</v>
      </c>
      <c r="E974" s="3" t="str">
        <f t="shared" si="204"/>
        <v>折たたみ幕板付</v>
      </c>
      <c r="F974" s="2" t="str">
        <f t="shared" si="205"/>
        <v>０００１</v>
      </c>
      <c r="G974" s="2" t="str">
        <f>"3620004106"</f>
        <v>3620004106</v>
      </c>
      <c r="H974" s="2" t="str">
        <f t="shared" ref="H974:H1003" si="210">"001"</f>
        <v>001</v>
      </c>
      <c r="I974" s="2" t="str">
        <f t="shared" si="207"/>
        <v>4100401</v>
      </c>
      <c r="J974" s="2">
        <f>23300</f>
        <v>23300</v>
      </c>
      <c r="K974" s="2" t="str">
        <f t="shared" ref="K974:K1034" si="211">"脚"</f>
        <v>脚</v>
      </c>
      <c r="L974" s="2" t="str">
        <f t="shared" si="209"/>
        <v>3630331</v>
      </c>
      <c r="M974" s="2" t="str">
        <f>""</f>
        <v/>
      </c>
    </row>
    <row r="975" spans="1:13" x14ac:dyDescent="0.15">
      <c r="A975" s="2" t="str">
        <f t="shared" si="200"/>
        <v>1881110500</v>
      </c>
      <c r="B975" s="2" t="str">
        <f t="shared" si="201"/>
        <v>佐伯・区政調整</v>
      </c>
      <c r="C975" s="2" t="str">
        <f t="shared" si="202"/>
        <v>01ﾂ00108</v>
      </c>
      <c r="D975" s="2" t="str">
        <f t="shared" si="203"/>
        <v>長机</v>
      </c>
      <c r="E975" s="3" t="str">
        <f t="shared" si="204"/>
        <v>折たたみ幕板付</v>
      </c>
      <c r="F975" s="2" t="str">
        <f t="shared" si="205"/>
        <v>０００１</v>
      </c>
      <c r="G975" s="2" t="str">
        <f>"3620004107"</f>
        <v>3620004107</v>
      </c>
      <c r="H975" s="2" t="str">
        <f t="shared" si="210"/>
        <v>001</v>
      </c>
      <c r="I975" s="2" t="str">
        <f t="shared" si="207"/>
        <v>4100401</v>
      </c>
      <c r="J975" s="2">
        <f>23300</f>
        <v>23300</v>
      </c>
      <c r="K975" s="2" t="str">
        <f t="shared" si="211"/>
        <v>脚</v>
      </c>
      <c r="L975" s="2" t="str">
        <f t="shared" si="209"/>
        <v>3630331</v>
      </c>
      <c r="M975" s="2" t="str">
        <f>""</f>
        <v/>
      </c>
    </row>
    <row r="976" spans="1:13" x14ac:dyDescent="0.15">
      <c r="A976" s="2" t="str">
        <f t="shared" si="200"/>
        <v>1881110500</v>
      </c>
      <c r="B976" s="2" t="str">
        <f t="shared" si="201"/>
        <v>佐伯・区政調整</v>
      </c>
      <c r="C976" s="2" t="str">
        <f t="shared" si="202"/>
        <v>01ﾂ00108</v>
      </c>
      <c r="D976" s="2" t="str">
        <f t="shared" si="203"/>
        <v>長机</v>
      </c>
      <c r="E976" s="3" t="str">
        <f t="shared" si="204"/>
        <v>折たたみ幕板付</v>
      </c>
      <c r="F976" s="2" t="str">
        <f t="shared" si="205"/>
        <v>０００１</v>
      </c>
      <c r="G976" s="2" t="str">
        <f>"3620004108"</f>
        <v>3620004108</v>
      </c>
      <c r="H976" s="2" t="str">
        <f t="shared" si="210"/>
        <v>001</v>
      </c>
      <c r="I976" s="2" t="str">
        <f t="shared" si="207"/>
        <v>4100401</v>
      </c>
      <c r="J976" s="2">
        <f>23300</f>
        <v>23300</v>
      </c>
      <c r="K976" s="2" t="str">
        <f t="shared" si="211"/>
        <v>脚</v>
      </c>
      <c r="L976" s="2" t="str">
        <f t="shared" si="209"/>
        <v>3630331</v>
      </c>
      <c r="M976" s="2" t="str">
        <f>""</f>
        <v/>
      </c>
    </row>
    <row r="977" spans="1:13" x14ac:dyDescent="0.15">
      <c r="A977" s="2" t="str">
        <f t="shared" si="200"/>
        <v>1881110500</v>
      </c>
      <c r="B977" s="2" t="str">
        <f t="shared" si="201"/>
        <v>佐伯・区政調整</v>
      </c>
      <c r="C977" s="2" t="str">
        <f t="shared" si="202"/>
        <v>01ﾂ00108</v>
      </c>
      <c r="D977" s="2" t="str">
        <f t="shared" si="203"/>
        <v>長机</v>
      </c>
      <c r="E977" s="3" t="str">
        <f t="shared" si="204"/>
        <v>折たたみ幕板付</v>
      </c>
      <c r="F977" s="2" t="str">
        <f t="shared" si="205"/>
        <v>０００１</v>
      </c>
      <c r="G977" s="2" t="str">
        <f>"3620004109"</f>
        <v>3620004109</v>
      </c>
      <c r="H977" s="2" t="str">
        <f t="shared" si="210"/>
        <v>001</v>
      </c>
      <c r="I977" s="2" t="str">
        <f t="shared" si="207"/>
        <v>4100401</v>
      </c>
      <c r="J977" s="2">
        <f>23300</f>
        <v>23300</v>
      </c>
      <c r="K977" s="2" t="str">
        <f t="shared" si="211"/>
        <v>脚</v>
      </c>
      <c r="L977" s="2" t="str">
        <f t="shared" si="209"/>
        <v>3630331</v>
      </c>
      <c r="M977" s="2" t="str">
        <f>""</f>
        <v/>
      </c>
    </row>
    <row r="978" spans="1:13" x14ac:dyDescent="0.15">
      <c r="A978" s="2" t="str">
        <f t="shared" si="200"/>
        <v>1881110500</v>
      </c>
      <c r="B978" s="2" t="str">
        <f t="shared" si="201"/>
        <v>佐伯・区政調整</v>
      </c>
      <c r="C978" s="2" t="str">
        <f t="shared" si="202"/>
        <v>01ﾂ00108</v>
      </c>
      <c r="D978" s="2" t="str">
        <f t="shared" si="203"/>
        <v>長机</v>
      </c>
      <c r="E978" s="3" t="str">
        <f t="shared" si="204"/>
        <v>折たたみ幕板付</v>
      </c>
      <c r="F978" s="2" t="str">
        <f t="shared" si="205"/>
        <v>０００１</v>
      </c>
      <c r="G978" s="2" t="str">
        <f>"3620004110"</f>
        <v>3620004110</v>
      </c>
      <c r="H978" s="2" t="str">
        <f t="shared" si="210"/>
        <v>001</v>
      </c>
      <c r="I978" s="2" t="str">
        <f t="shared" si="207"/>
        <v>4100401</v>
      </c>
      <c r="J978" s="2">
        <f>23300</f>
        <v>23300</v>
      </c>
      <c r="K978" s="2" t="str">
        <f t="shared" si="211"/>
        <v>脚</v>
      </c>
      <c r="L978" s="2" t="str">
        <f t="shared" si="209"/>
        <v>3630331</v>
      </c>
      <c r="M978" s="2" t="str">
        <f>""</f>
        <v/>
      </c>
    </row>
    <row r="979" spans="1:13" x14ac:dyDescent="0.15">
      <c r="A979" s="2" t="str">
        <f t="shared" si="200"/>
        <v>1881110500</v>
      </c>
      <c r="B979" s="2" t="str">
        <f t="shared" si="201"/>
        <v>佐伯・区政調整</v>
      </c>
      <c r="C979" s="2" t="str">
        <f t="shared" si="202"/>
        <v>01ﾂ00108</v>
      </c>
      <c r="D979" s="2" t="str">
        <f t="shared" si="203"/>
        <v>長机</v>
      </c>
      <c r="E979" s="3" t="str">
        <f t="shared" si="204"/>
        <v>折たたみ幕板付</v>
      </c>
      <c r="F979" s="2" t="str">
        <f t="shared" si="205"/>
        <v>０００１</v>
      </c>
      <c r="G979" s="2" t="str">
        <f>"3620004111"</f>
        <v>3620004111</v>
      </c>
      <c r="H979" s="2" t="str">
        <f t="shared" si="210"/>
        <v>001</v>
      </c>
      <c r="I979" s="2" t="str">
        <f t="shared" si="207"/>
        <v>4100401</v>
      </c>
      <c r="J979" s="2">
        <f>23300</f>
        <v>23300</v>
      </c>
      <c r="K979" s="2" t="str">
        <f t="shared" si="211"/>
        <v>脚</v>
      </c>
      <c r="L979" s="2" t="str">
        <f t="shared" si="209"/>
        <v>3630331</v>
      </c>
      <c r="M979" s="2" t="str">
        <f>""</f>
        <v/>
      </c>
    </row>
    <row r="980" spans="1:13" x14ac:dyDescent="0.15">
      <c r="A980" s="2" t="str">
        <f t="shared" si="200"/>
        <v>1881110500</v>
      </c>
      <c r="B980" s="2" t="str">
        <f t="shared" si="201"/>
        <v>佐伯・区政調整</v>
      </c>
      <c r="C980" s="2" t="str">
        <f t="shared" si="202"/>
        <v>01ﾂ00108</v>
      </c>
      <c r="D980" s="2" t="str">
        <f t="shared" si="203"/>
        <v>長机</v>
      </c>
      <c r="E980" s="3" t="str">
        <f t="shared" si="204"/>
        <v>折たたみ幕板付</v>
      </c>
      <c r="F980" s="2" t="str">
        <f t="shared" si="205"/>
        <v>０００１</v>
      </c>
      <c r="G980" s="2" t="str">
        <f>"3620004112"</f>
        <v>3620004112</v>
      </c>
      <c r="H980" s="2" t="str">
        <f t="shared" si="210"/>
        <v>001</v>
      </c>
      <c r="I980" s="2" t="str">
        <f t="shared" si="207"/>
        <v>4100401</v>
      </c>
      <c r="J980" s="2">
        <f>23300</f>
        <v>23300</v>
      </c>
      <c r="K980" s="2" t="str">
        <f t="shared" si="211"/>
        <v>脚</v>
      </c>
      <c r="L980" s="2" t="str">
        <f t="shared" si="209"/>
        <v>3630331</v>
      </c>
      <c r="M980" s="2" t="str">
        <f>""</f>
        <v/>
      </c>
    </row>
    <row r="981" spans="1:13" x14ac:dyDescent="0.15">
      <c r="A981" s="2" t="str">
        <f t="shared" si="200"/>
        <v>1881110500</v>
      </c>
      <c r="B981" s="2" t="str">
        <f t="shared" si="201"/>
        <v>佐伯・区政調整</v>
      </c>
      <c r="C981" s="2" t="str">
        <f t="shared" si="202"/>
        <v>01ﾂ00108</v>
      </c>
      <c r="D981" s="2" t="str">
        <f t="shared" si="203"/>
        <v>長机</v>
      </c>
      <c r="E981" s="3" t="str">
        <f t="shared" si="204"/>
        <v>折たたみ幕板付</v>
      </c>
      <c r="F981" s="2" t="str">
        <f t="shared" si="205"/>
        <v>０００１</v>
      </c>
      <c r="G981" s="2" t="str">
        <f>"3620004113"</f>
        <v>3620004113</v>
      </c>
      <c r="H981" s="2" t="str">
        <f t="shared" si="210"/>
        <v>001</v>
      </c>
      <c r="I981" s="2" t="str">
        <f t="shared" si="207"/>
        <v>4100401</v>
      </c>
      <c r="J981" s="2">
        <f>23300</f>
        <v>23300</v>
      </c>
      <c r="K981" s="2" t="str">
        <f t="shared" si="211"/>
        <v>脚</v>
      </c>
      <c r="L981" s="2" t="str">
        <f t="shared" si="209"/>
        <v>3630331</v>
      </c>
      <c r="M981" s="2" t="str">
        <f>""</f>
        <v/>
      </c>
    </row>
    <row r="982" spans="1:13" x14ac:dyDescent="0.15">
      <c r="A982" s="2" t="str">
        <f t="shared" si="200"/>
        <v>1881110500</v>
      </c>
      <c r="B982" s="2" t="str">
        <f t="shared" si="201"/>
        <v>佐伯・区政調整</v>
      </c>
      <c r="C982" s="2" t="str">
        <f t="shared" si="202"/>
        <v>01ﾂ00108</v>
      </c>
      <c r="D982" s="2" t="str">
        <f t="shared" si="203"/>
        <v>長机</v>
      </c>
      <c r="E982" s="3" t="str">
        <f t="shared" si="204"/>
        <v>折たたみ幕板付</v>
      </c>
      <c r="F982" s="2" t="str">
        <f t="shared" si="205"/>
        <v>０００１</v>
      </c>
      <c r="G982" s="2" t="str">
        <f>"3620004114"</f>
        <v>3620004114</v>
      </c>
      <c r="H982" s="2" t="str">
        <f t="shared" si="210"/>
        <v>001</v>
      </c>
      <c r="I982" s="2" t="str">
        <f t="shared" si="207"/>
        <v>4100401</v>
      </c>
      <c r="J982" s="2">
        <f>23300</f>
        <v>23300</v>
      </c>
      <c r="K982" s="2" t="str">
        <f t="shared" si="211"/>
        <v>脚</v>
      </c>
      <c r="L982" s="2" t="str">
        <f t="shared" si="209"/>
        <v>3630331</v>
      </c>
      <c r="M982" s="2" t="str">
        <f>""</f>
        <v/>
      </c>
    </row>
    <row r="983" spans="1:13" x14ac:dyDescent="0.15">
      <c r="A983" s="2" t="str">
        <f t="shared" si="200"/>
        <v>1881110500</v>
      </c>
      <c r="B983" s="2" t="str">
        <f t="shared" si="201"/>
        <v>佐伯・区政調整</v>
      </c>
      <c r="C983" s="2" t="str">
        <f t="shared" si="202"/>
        <v>01ﾂ00108</v>
      </c>
      <c r="D983" s="2" t="str">
        <f t="shared" si="203"/>
        <v>長机</v>
      </c>
      <c r="E983" s="3" t="str">
        <f t="shared" si="204"/>
        <v>折たたみ幕板付</v>
      </c>
      <c r="F983" s="2" t="str">
        <f t="shared" si="205"/>
        <v>０００１</v>
      </c>
      <c r="G983" s="2" t="str">
        <f>"3620004115"</f>
        <v>3620004115</v>
      </c>
      <c r="H983" s="2" t="str">
        <f t="shared" si="210"/>
        <v>001</v>
      </c>
      <c r="I983" s="2" t="str">
        <f t="shared" si="207"/>
        <v>4100401</v>
      </c>
      <c r="J983" s="2">
        <f>23300</f>
        <v>23300</v>
      </c>
      <c r="K983" s="2" t="str">
        <f t="shared" si="211"/>
        <v>脚</v>
      </c>
      <c r="L983" s="2" t="str">
        <f t="shared" si="209"/>
        <v>3630331</v>
      </c>
      <c r="M983" s="2" t="str">
        <f>""</f>
        <v/>
      </c>
    </row>
    <row r="984" spans="1:13" x14ac:dyDescent="0.15">
      <c r="A984" s="2" t="str">
        <f t="shared" si="200"/>
        <v>1881110500</v>
      </c>
      <c r="B984" s="2" t="str">
        <f t="shared" si="201"/>
        <v>佐伯・区政調整</v>
      </c>
      <c r="C984" s="2" t="str">
        <f t="shared" si="202"/>
        <v>01ﾂ00108</v>
      </c>
      <c r="D984" s="2" t="str">
        <f t="shared" si="203"/>
        <v>長机</v>
      </c>
      <c r="E984" s="3" t="str">
        <f t="shared" si="204"/>
        <v>折たたみ幕板付</v>
      </c>
      <c r="F984" s="2" t="str">
        <f t="shared" si="205"/>
        <v>０００１</v>
      </c>
      <c r="G984" s="2" t="str">
        <f>"3620004116"</f>
        <v>3620004116</v>
      </c>
      <c r="H984" s="2" t="str">
        <f t="shared" si="210"/>
        <v>001</v>
      </c>
      <c r="I984" s="2" t="str">
        <f t="shared" si="207"/>
        <v>4100401</v>
      </c>
      <c r="J984" s="2">
        <f>23300</f>
        <v>23300</v>
      </c>
      <c r="K984" s="2" t="str">
        <f t="shared" si="211"/>
        <v>脚</v>
      </c>
      <c r="L984" s="2" t="str">
        <f t="shared" si="209"/>
        <v>3630331</v>
      </c>
      <c r="M984" s="2" t="str">
        <f>""</f>
        <v/>
      </c>
    </row>
    <row r="985" spans="1:13" x14ac:dyDescent="0.15">
      <c r="A985" s="2" t="str">
        <f t="shared" si="200"/>
        <v>1881110500</v>
      </c>
      <c r="B985" s="2" t="str">
        <f t="shared" si="201"/>
        <v>佐伯・区政調整</v>
      </c>
      <c r="C985" s="2" t="str">
        <f t="shared" si="202"/>
        <v>01ﾂ00108</v>
      </c>
      <c r="D985" s="2" t="str">
        <f t="shared" si="203"/>
        <v>長机</v>
      </c>
      <c r="E985" s="3" t="str">
        <f t="shared" si="204"/>
        <v>折たたみ幕板付</v>
      </c>
      <c r="F985" s="2" t="str">
        <f t="shared" si="205"/>
        <v>０００１</v>
      </c>
      <c r="G985" s="2" t="str">
        <f>"3620004117"</f>
        <v>3620004117</v>
      </c>
      <c r="H985" s="2" t="str">
        <f t="shared" si="210"/>
        <v>001</v>
      </c>
      <c r="I985" s="2" t="str">
        <f t="shared" si="207"/>
        <v>4100401</v>
      </c>
      <c r="J985" s="2">
        <f>23300</f>
        <v>23300</v>
      </c>
      <c r="K985" s="2" t="str">
        <f t="shared" si="211"/>
        <v>脚</v>
      </c>
      <c r="L985" s="2" t="str">
        <f t="shared" si="209"/>
        <v>3630331</v>
      </c>
      <c r="M985" s="2" t="str">
        <f>""</f>
        <v/>
      </c>
    </row>
    <row r="986" spans="1:13" x14ac:dyDescent="0.15">
      <c r="A986" s="2" t="str">
        <f t="shared" si="200"/>
        <v>1881110500</v>
      </c>
      <c r="B986" s="2" t="str">
        <f t="shared" si="201"/>
        <v>佐伯・区政調整</v>
      </c>
      <c r="C986" s="2" t="str">
        <f t="shared" si="202"/>
        <v>01ﾂ00108</v>
      </c>
      <c r="D986" s="2" t="str">
        <f t="shared" si="203"/>
        <v>長机</v>
      </c>
      <c r="E986" s="3" t="str">
        <f t="shared" ref="E986:E994" si="212">"ウチダ　６０－Ｔ型"</f>
        <v>ウチダ　６０－Ｔ型</v>
      </c>
      <c r="F986" s="2" t="str">
        <f t="shared" si="205"/>
        <v>０００１</v>
      </c>
      <c r="G986" s="2" t="str">
        <f>"4130003788"</f>
        <v>4130003788</v>
      </c>
      <c r="H986" s="2" t="str">
        <f t="shared" si="210"/>
        <v>001</v>
      </c>
      <c r="I986" s="2" t="str">
        <f t="shared" ref="I986:I994" si="213">"4130712"</f>
        <v>4130712</v>
      </c>
      <c r="J986" s="2">
        <f>23520</f>
        <v>23520</v>
      </c>
      <c r="K986" s="2" t="str">
        <f t="shared" si="211"/>
        <v>脚</v>
      </c>
      <c r="L986" s="2" t="str">
        <f t="shared" ref="L986:L994" si="214">"4130712"</f>
        <v>4130712</v>
      </c>
      <c r="M986" s="2" t="str">
        <f t="shared" ref="M986:M994" si="215">"4130712"</f>
        <v>4130712</v>
      </c>
    </row>
    <row r="987" spans="1:13" x14ac:dyDescent="0.15">
      <c r="A987" s="2" t="str">
        <f t="shared" si="200"/>
        <v>1881110500</v>
      </c>
      <c r="B987" s="2" t="str">
        <f t="shared" si="201"/>
        <v>佐伯・区政調整</v>
      </c>
      <c r="C987" s="2" t="str">
        <f t="shared" ref="C987:C1015" si="216">"01ﾂ00108"</f>
        <v>01ﾂ00108</v>
      </c>
      <c r="D987" s="2" t="str">
        <f t="shared" ref="D987:D1015" si="217">"長机"</f>
        <v>長机</v>
      </c>
      <c r="E987" s="3" t="str">
        <f t="shared" si="212"/>
        <v>ウチダ　６０－Ｔ型</v>
      </c>
      <c r="F987" s="2" t="str">
        <f t="shared" si="205"/>
        <v>０００１</v>
      </c>
      <c r="G987" s="2" t="str">
        <f>"4130003789"</f>
        <v>4130003789</v>
      </c>
      <c r="H987" s="2" t="str">
        <f t="shared" si="210"/>
        <v>001</v>
      </c>
      <c r="I987" s="2" t="str">
        <f t="shared" si="213"/>
        <v>4130712</v>
      </c>
      <c r="J987" s="2">
        <f>23520</f>
        <v>23520</v>
      </c>
      <c r="K987" s="2" t="str">
        <f t="shared" si="211"/>
        <v>脚</v>
      </c>
      <c r="L987" s="2" t="str">
        <f t="shared" si="214"/>
        <v>4130712</v>
      </c>
      <c r="M987" s="2" t="str">
        <f t="shared" si="215"/>
        <v>4130712</v>
      </c>
    </row>
    <row r="988" spans="1:13" x14ac:dyDescent="0.15">
      <c r="A988" s="2" t="str">
        <f t="shared" ref="A988:A1048" si="218">"1881110500"</f>
        <v>1881110500</v>
      </c>
      <c r="B988" s="2" t="str">
        <f t="shared" ref="B988:B1048" si="219">"佐伯・区政調整"</f>
        <v>佐伯・区政調整</v>
      </c>
      <c r="C988" s="2" t="str">
        <f t="shared" si="216"/>
        <v>01ﾂ00108</v>
      </c>
      <c r="D988" s="2" t="str">
        <f t="shared" si="217"/>
        <v>長机</v>
      </c>
      <c r="E988" s="3" t="str">
        <f t="shared" si="212"/>
        <v>ウチダ　６０－Ｔ型</v>
      </c>
      <c r="F988" s="2" t="str">
        <f t="shared" si="205"/>
        <v>０００１</v>
      </c>
      <c r="G988" s="2" t="str">
        <f>"4130003790"</f>
        <v>4130003790</v>
      </c>
      <c r="H988" s="2" t="str">
        <f t="shared" si="210"/>
        <v>001</v>
      </c>
      <c r="I988" s="2" t="str">
        <f t="shared" si="213"/>
        <v>4130712</v>
      </c>
      <c r="J988" s="2">
        <f>23520</f>
        <v>23520</v>
      </c>
      <c r="K988" s="2" t="str">
        <f t="shared" si="211"/>
        <v>脚</v>
      </c>
      <c r="L988" s="2" t="str">
        <f t="shared" si="214"/>
        <v>4130712</v>
      </c>
      <c r="M988" s="2" t="str">
        <f t="shared" si="215"/>
        <v>4130712</v>
      </c>
    </row>
    <row r="989" spans="1:13" x14ac:dyDescent="0.15">
      <c r="A989" s="2" t="str">
        <f t="shared" si="218"/>
        <v>1881110500</v>
      </c>
      <c r="B989" s="2" t="str">
        <f t="shared" si="219"/>
        <v>佐伯・区政調整</v>
      </c>
      <c r="C989" s="2" t="str">
        <f t="shared" si="216"/>
        <v>01ﾂ00108</v>
      </c>
      <c r="D989" s="2" t="str">
        <f t="shared" si="217"/>
        <v>長机</v>
      </c>
      <c r="E989" s="3" t="str">
        <f t="shared" si="212"/>
        <v>ウチダ　６０－Ｔ型</v>
      </c>
      <c r="F989" s="2" t="str">
        <f t="shared" si="205"/>
        <v>０００１</v>
      </c>
      <c r="G989" s="2" t="str">
        <f>"4130003791"</f>
        <v>4130003791</v>
      </c>
      <c r="H989" s="2" t="str">
        <f t="shared" si="210"/>
        <v>001</v>
      </c>
      <c r="I989" s="2" t="str">
        <f t="shared" si="213"/>
        <v>4130712</v>
      </c>
      <c r="J989" s="2">
        <f>23520</f>
        <v>23520</v>
      </c>
      <c r="K989" s="2" t="str">
        <f t="shared" si="211"/>
        <v>脚</v>
      </c>
      <c r="L989" s="2" t="str">
        <f t="shared" si="214"/>
        <v>4130712</v>
      </c>
      <c r="M989" s="2" t="str">
        <f t="shared" si="215"/>
        <v>4130712</v>
      </c>
    </row>
    <row r="990" spans="1:13" x14ac:dyDescent="0.15">
      <c r="A990" s="2" t="str">
        <f t="shared" si="218"/>
        <v>1881110500</v>
      </c>
      <c r="B990" s="2" t="str">
        <f t="shared" si="219"/>
        <v>佐伯・区政調整</v>
      </c>
      <c r="C990" s="2" t="str">
        <f t="shared" si="216"/>
        <v>01ﾂ00108</v>
      </c>
      <c r="D990" s="2" t="str">
        <f t="shared" si="217"/>
        <v>長机</v>
      </c>
      <c r="E990" s="3" t="str">
        <f t="shared" si="212"/>
        <v>ウチダ　６０－Ｔ型</v>
      </c>
      <c r="F990" s="2" t="str">
        <f t="shared" si="205"/>
        <v>０００１</v>
      </c>
      <c r="G990" s="2" t="str">
        <f>"4130003792"</f>
        <v>4130003792</v>
      </c>
      <c r="H990" s="2" t="str">
        <f t="shared" si="210"/>
        <v>001</v>
      </c>
      <c r="I990" s="2" t="str">
        <f t="shared" si="213"/>
        <v>4130712</v>
      </c>
      <c r="J990" s="2">
        <f>23520</f>
        <v>23520</v>
      </c>
      <c r="K990" s="2" t="str">
        <f t="shared" si="211"/>
        <v>脚</v>
      </c>
      <c r="L990" s="2" t="str">
        <f t="shared" si="214"/>
        <v>4130712</v>
      </c>
      <c r="M990" s="2" t="str">
        <f t="shared" si="215"/>
        <v>4130712</v>
      </c>
    </row>
    <row r="991" spans="1:13" x14ac:dyDescent="0.15">
      <c r="A991" s="2" t="str">
        <f t="shared" si="218"/>
        <v>1881110500</v>
      </c>
      <c r="B991" s="2" t="str">
        <f t="shared" si="219"/>
        <v>佐伯・区政調整</v>
      </c>
      <c r="C991" s="2" t="str">
        <f t="shared" si="216"/>
        <v>01ﾂ00108</v>
      </c>
      <c r="D991" s="2" t="str">
        <f t="shared" si="217"/>
        <v>長机</v>
      </c>
      <c r="E991" s="3" t="str">
        <f t="shared" si="212"/>
        <v>ウチダ　６０－Ｔ型</v>
      </c>
      <c r="F991" s="2" t="str">
        <f t="shared" si="205"/>
        <v>０００１</v>
      </c>
      <c r="G991" s="2" t="str">
        <f>"4130003793"</f>
        <v>4130003793</v>
      </c>
      <c r="H991" s="2" t="str">
        <f t="shared" si="210"/>
        <v>001</v>
      </c>
      <c r="I991" s="2" t="str">
        <f t="shared" si="213"/>
        <v>4130712</v>
      </c>
      <c r="J991" s="2">
        <f>23520</f>
        <v>23520</v>
      </c>
      <c r="K991" s="2" t="str">
        <f t="shared" si="211"/>
        <v>脚</v>
      </c>
      <c r="L991" s="2" t="str">
        <f t="shared" si="214"/>
        <v>4130712</v>
      </c>
      <c r="M991" s="2" t="str">
        <f t="shared" si="215"/>
        <v>4130712</v>
      </c>
    </row>
    <row r="992" spans="1:13" x14ac:dyDescent="0.15">
      <c r="A992" s="2" t="str">
        <f t="shared" si="218"/>
        <v>1881110500</v>
      </c>
      <c r="B992" s="2" t="str">
        <f t="shared" si="219"/>
        <v>佐伯・区政調整</v>
      </c>
      <c r="C992" s="2" t="str">
        <f t="shared" si="216"/>
        <v>01ﾂ00108</v>
      </c>
      <c r="D992" s="2" t="str">
        <f t="shared" si="217"/>
        <v>長机</v>
      </c>
      <c r="E992" s="3" t="str">
        <f t="shared" si="212"/>
        <v>ウチダ　６０－Ｔ型</v>
      </c>
      <c r="F992" s="2" t="str">
        <f t="shared" si="205"/>
        <v>０００１</v>
      </c>
      <c r="G992" s="2" t="str">
        <f>"4130003794"</f>
        <v>4130003794</v>
      </c>
      <c r="H992" s="2" t="str">
        <f t="shared" si="210"/>
        <v>001</v>
      </c>
      <c r="I992" s="2" t="str">
        <f t="shared" si="213"/>
        <v>4130712</v>
      </c>
      <c r="J992" s="2">
        <f>23520</f>
        <v>23520</v>
      </c>
      <c r="K992" s="2" t="str">
        <f t="shared" si="211"/>
        <v>脚</v>
      </c>
      <c r="L992" s="2" t="str">
        <f t="shared" si="214"/>
        <v>4130712</v>
      </c>
      <c r="M992" s="2" t="str">
        <f t="shared" si="215"/>
        <v>4130712</v>
      </c>
    </row>
    <row r="993" spans="1:13" x14ac:dyDescent="0.15">
      <c r="A993" s="2" t="str">
        <f t="shared" si="218"/>
        <v>1881110500</v>
      </c>
      <c r="B993" s="2" t="str">
        <f t="shared" si="219"/>
        <v>佐伯・区政調整</v>
      </c>
      <c r="C993" s="2" t="str">
        <f t="shared" si="216"/>
        <v>01ﾂ00108</v>
      </c>
      <c r="D993" s="2" t="str">
        <f t="shared" si="217"/>
        <v>長机</v>
      </c>
      <c r="E993" s="3" t="str">
        <f t="shared" si="212"/>
        <v>ウチダ　６０－Ｔ型</v>
      </c>
      <c r="F993" s="2" t="str">
        <f t="shared" si="205"/>
        <v>０００１</v>
      </c>
      <c r="G993" s="2" t="str">
        <f>"4130003796"</f>
        <v>4130003796</v>
      </c>
      <c r="H993" s="2" t="str">
        <f t="shared" si="210"/>
        <v>001</v>
      </c>
      <c r="I993" s="2" t="str">
        <f t="shared" si="213"/>
        <v>4130712</v>
      </c>
      <c r="J993" s="2">
        <f>23520</f>
        <v>23520</v>
      </c>
      <c r="K993" s="2" t="str">
        <f t="shared" si="211"/>
        <v>脚</v>
      </c>
      <c r="L993" s="2" t="str">
        <f t="shared" si="214"/>
        <v>4130712</v>
      </c>
      <c r="M993" s="2" t="str">
        <f t="shared" si="215"/>
        <v>4130712</v>
      </c>
    </row>
    <row r="994" spans="1:13" x14ac:dyDescent="0.15">
      <c r="A994" s="2" t="str">
        <f t="shared" si="218"/>
        <v>1881110500</v>
      </c>
      <c r="B994" s="2" t="str">
        <f t="shared" si="219"/>
        <v>佐伯・区政調整</v>
      </c>
      <c r="C994" s="2" t="str">
        <f t="shared" si="216"/>
        <v>01ﾂ00108</v>
      </c>
      <c r="D994" s="2" t="str">
        <f t="shared" si="217"/>
        <v>長机</v>
      </c>
      <c r="E994" s="3" t="str">
        <f t="shared" si="212"/>
        <v>ウチダ　６０－Ｔ型</v>
      </c>
      <c r="F994" s="2" t="str">
        <f t="shared" si="205"/>
        <v>０００１</v>
      </c>
      <c r="G994" s="2" t="str">
        <f>"4130003797"</f>
        <v>4130003797</v>
      </c>
      <c r="H994" s="2" t="str">
        <f t="shared" si="210"/>
        <v>001</v>
      </c>
      <c r="I994" s="2" t="str">
        <f t="shared" si="213"/>
        <v>4130712</v>
      </c>
      <c r="J994" s="2">
        <f>23520</f>
        <v>23520</v>
      </c>
      <c r="K994" s="2" t="str">
        <f t="shared" si="211"/>
        <v>脚</v>
      </c>
      <c r="L994" s="2" t="str">
        <f t="shared" si="214"/>
        <v>4130712</v>
      </c>
      <c r="M994" s="2" t="str">
        <f t="shared" si="215"/>
        <v>4130712</v>
      </c>
    </row>
    <row r="995" spans="1:13" x14ac:dyDescent="0.15">
      <c r="A995" s="2" t="str">
        <f t="shared" si="218"/>
        <v>1881110500</v>
      </c>
      <c r="B995" s="2" t="str">
        <f t="shared" si="219"/>
        <v>佐伯・区政調整</v>
      </c>
      <c r="C995" s="2" t="str">
        <f t="shared" si="216"/>
        <v>01ﾂ00108</v>
      </c>
      <c r="D995" s="2" t="str">
        <f t="shared" si="217"/>
        <v>長机</v>
      </c>
      <c r="E995" s="3" t="str">
        <f t="shared" ref="E995:E1009" si="220">"ＵＣＨＩＤＡ　６０Ｎ"</f>
        <v>ＵＣＨＩＤＡ　６０Ｎ</v>
      </c>
      <c r="F995" s="2" t="str">
        <f t="shared" ref="F995:F1009" si="221">"０００１"</f>
        <v>０００１</v>
      </c>
      <c r="G995" s="2" t="str">
        <f>"4190005452"</f>
        <v>4190005452</v>
      </c>
      <c r="H995" s="2" t="str">
        <f t="shared" si="210"/>
        <v>001</v>
      </c>
      <c r="I995" s="2" t="str">
        <f t="shared" ref="I995:I1009" si="222">"4200123"</f>
        <v>4200123</v>
      </c>
      <c r="J995" s="2">
        <f>24500</f>
        <v>24500</v>
      </c>
      <c r="K995" s="2" t="str">
        <f t="shared" si="211"/>
        <v>脚</v>
      </c>
      <c r="L995" s="2" t="str">
        <f t="shared" ref="L995:L1009" si="223">"4200123"</f>
        <v>4200123</v>
      </c>
      <c r="M995" s="2" t="str">
        <f t="shared" ref="M995:M1009" si="224">"4200123"</f>
        <v>4200123</v>
      </c>
    </row>
    <row r="996" spans="1:13" x14ac:dyDescent="0.15">
      <c r="A996" s="2" t="str">
        <f t="shared" si="218"/>
        <v>1881110500</v>
      </c>
      <c r="B996" s="2" t="str">
        <f t="shared" si="219"/>
        <v>佐伯・区政調整</v>
      </c>
      <c r="C996" s="2" t="str">
        <f t="shared" si="216"/>
        <v>01ﾂ00108</v>
      </c>
      <c r="D996" s="2" t="str">
        <f t="shared" si="217"/>
        <v>長机</v>
      </c>
      <c r="E996" s="3" t="str">
        <f t="shared" si="220"/>
        <v>ＵＣＨＩＤＡ　６０Ｎ</v>
      </c>
      <c r="F996" s="2" t="str">
        <f t="shared" si="221"/>
        <v>０００１</v>
      </c>
      <c r="G996" s="2" t="str">
        <f>"4190005453"</f>
        <v>4190005453</v>
      </c>
      <c r="H996" s="2" t="str">
        <f t="shared" si="210"/>
        <v>001</v>
      </c>
      <c r="I996" s="2" t="str">
        <f t="shared" si="222"/>
        <v>4200123</v>
      </c>
      <c r="J996" s="2">
        <f>24500</f>
        <v>24500</v>
      </c>
      <c r="K996" s="2" t="str">
        <f t="shared" si="211"/>
        <v>脚</v>
      </c>
      <c r="L996" s="2" t="str">
        <f t="shared" si="223"/>
        <v>4200123</v>
      </c>
      <c r="M996" s="2" t="str">
        <f t="shared" si="224"/>
        <v>4200123</v>
      </c>
    </row>
    <row r="997" spans="1:13" x14ac:dyDescent="0.15">
      <c r="A997" s="2" t="str">
        <f t="shared" si="218"/>
        <v>1881110500</v>
      </c>
      <c r="B997" s="2" t="str">
        <f t="shared" si="219"/>
        <v>佐伯・区政調整</v>
      </c>
      <c r="C997" s="2" t="str">
        <f t="shared" si="216"/>
        <v>01ﾂ00108</v>
      </c>
      <c r="D997" s="2" t="str">
        <f t="shared" si="217"/>
        <v>長机</v>
      </c>
      <c r="E997" s="3" t="str">
        <f t="shared" si="220"/>
        <v>ＵＣＨＩＤＡ　６０Ｎ</v>
      </c>
      <c r="F997" s="2" t="str">
        <f t="shared" si="221"/>
        <v>０００１</v>
      </c>
      <c r="G997" s="2" t="str">
        <f>"4190005454"</f>
        <v>4190005454</v>
      </c>
      <c r="H997" s="2" t="str">
        <f t="shared" si="210"/>
        <v>001</v>
      </c>
      <c r="I997" s="2" t="str">
        <f t="shared" si="222"/>
        <v>4200123</v>
      </c>
      <c r="J997" s="2">
        <f>24500</f>
        <v>24500</v>
      </c>
      <c r="K997" s="2" t="str">
        <f t="shared" si="211"/>
        <v>脚</v>
      </c>
      <c r="L997" s="2" t="str">
        <f t="shared" si="223"/>
        <v>4200123</v>
      </c>
      <c r="M997" s="2" t="str">
        <f t="shared" si="224"/>
        <v>4200123</v>
      </c>
    </row>
    <row r="998" spans="1:13" x14ac:dyDescent="0.15">
      <c r="A998" s="2" t="str">
        <f t="shared" si="218"/>
        <v>1881110500</v>
      </c>
      <c r="B998" s="2" t="str">
        <f t="shared" si="219"/>
        <v>佐伯・区政調整</v>
      </c>
      <c r="C998" s="2" t="str">
        <f t="shared" si="216"/>
        <v>01ﾂ00108</v>
      </c>
      <c r="D998" s="2" t="str">
        <f t="shared" si="217"/>
        <v>長机</v>
      </c>
      <c r="E998" s="3" t="str">
        <f t="shared" si="220"/>
        <v>ＵＣＨＩＤＡ　６０Ｎ</v>
      </c>
      <c r="F998" s="2" t="str">
        <f t="shared" si="221"/>
        <v>０００１</v>
      </c>
      <c r="G998" s="2" t="str">
        <f>"4190005455"</f>
        <v>4190005455</v>
      </c>
      <c r="H998" s="2" t="str">
        <f t="shared" si="210"/>
        <v>001</v>
      </c>
      <c r="I998" s="2" t="str">
        <f t="shared" si="222"/>
        <v>4200123</v>
      </c>
      <c r="J998" s="2">
        <f>24500</f>
        <v>24500</v>
      </c>
      <c r="K998" s="2" t="str">
        <f t="shared" si="211"/>
        <v>脚</v>
      </c>
      <c r="L998" s="2" t="str">
        <f t="shared" si="223"/>
        <v>4200123</v>
      </c>
      <c r="M998" s="2" t="str">
        <f t="shared" si="224"/>
        <v>4200123</v>
      </c>
    </row>
    <row r="999" spans="1:13" x14ac:dyDescent="0.15">
      <c r="A999" s="2" t="str">
        <f t="shared" si="218"/>
        <v>1881110500</v>
      </c>
      <c r="B999" s="2" t="str">
        <f t="shared" si="219"/>
        <v>佐伯・区政調整</v>
      </c>
      <c r="C999" s="2" t="str">
        <f t="shared" si="216"/>
        <v>01ﾂ00108</v>
      </c>
      <c r="D999" s="2" t="str">
        <f t="shared" si="217"/>
        <v>長机</v>
      </c>
      <c r="E999" s="3" t="str">
        <f t="shared" si="220"/>
        <v>ＵＣＨＩＤＡ　６０Ｎ</v>
      </c>
      <c r="F999" s="2" t="str">
        <f t="shared" si="221"/>
        <v>０００１</v>
      </c>
      <c r="G999" s="2" t="str">
        <f>"4190005456"</f>
        <v>4190005456</v>
      </c>
      <c r="H999" s="2" t="str">
        <f t="shared" si="210"/>
        <v>001</v>
      </c>
      <c r="I999" s="2" t="str">
        <f t="shared" si="222"/>
        <v>4200123</v>
      </c>
      <c r="J999" s="2">
        <f>24500</f>
        <v>24500</v>
      </c>
      <c r="K999" s="2" t="str">
        <f t="shared" si="211"/>
        <v>脚</v>
      </c>
      <c r="L999" s="2" t="str">
        <f t="shared" si="223"/>
        <v>4200123</v>
      </c>
      <c r="M999" s="2" t="str">
        <f t="shared" si="224"/>
        <v>4200123</v>
      </c>
    </row>
    <row r="1000" spans="1:13" x14ac:dyDescent="0.15">
      <c r="A1000" s="2" t="str">
        <f t="shared" si="218"/>
        <v>1881110500</v>
      </c>
      <c r="B1000" s="2" t="str">
        <f t="shared" si="219"/>
        <v>佐伯・区政調整</v>
      </c>
      <c r="C1000" s="2" t="str">
        <f t="shared" si="216"/>
        <v>01ﾂ00108</v>
      </c>
      <c r="D1000" s="2" t="str">
        <f t="shared" si="217"/>
        <v>長机</v>
      </c>
      <c r="E1000" s="3" t="str">
        <f t="shared" si="220"/>
        <v>ＵＣＨＩＤＡ　６０Ｎ</v>
      </c>
      <c r="F1000" s="2" t="str">
        <f t="shared" si="221"/>
        <v>０００１</v>
      </c>
      <c r="G1000" s="2" t="str">
        <f>"4190005457"</f>
        <v>4190005457</v>
      </c>
      <c r="H1000" s="2" t="str">
        <f t="shared" si="210"/>
        <v>001</v>
      </c>
      <c r="I1000" s="2" t="str">
        <f t="shared" si="222"/>
        <v>4200123</v>
      </c>
      <c r="J1000" s="2">
        <f>24500</f>
        <v>24500</v>
      </c>
      <c r="K1000" s="2" t="str">
        <f t="shared" si="211"/>
        <v>脚</v>
      </c>
      <c r="L1000" s="2" t="str">
        <f t="shared" si="223"/>
        <v>4200123</v>
      </c>
      <c r="M1000" s="2" t="str">
        <f t="shared" si="224"/>
        <v>4200123</v>
      </c>
    </row>
    <row r="1001" spans="1:13" x14ac:dyDescent="0.15">
      <c r="A1001" s="2" t="str">
        <f t="shared" si="218"/>
        <v>1881110500</v>
      </c>
      <c r="B1001" s="2" t="str">
        <f t="shared" si="219"/>
        <v>佐伯・区政調整</v>
      </c>
      <c r="C1001" s="2" t="str">
        <f t="shared" si="216"/>
        <v>01ﾂ00108</v>
      </c>
      <c r="D1001" s="2" t="str">
        <f t="shared" si="217"/>
        <v>長机</v>
      </c>
      <c r="E1001" s="3" t="str">
        <f t="shared" si="220"/>
        <v>ＵＣＨＩＤＡ　６０Ｎ</v>
      </c>
      <c r="F1001" s="2" t="str">
        <f t="shared" si="221"/>
        <v>０００１</v>
      </c>
      <c r="G1001" s="2" t="str">
        <f>"4190005458"</f>
        <v>4190005458</v>
      </c>
      <c r="H1001" s="2" t="str">
        <f t="shared" si="210"/>
        <v>001</v>
      </c>
      <c r="I1001" s="2" t="str">
        <f t="shared" si="222"/>
        <v>4200123</v>
      </c>
      <c r="J1001" s="2">
        <f>24500</f>
        <v>24500</v>
      </c>
      <c r="K1001" s="2" t="str">
        <f t="shared" si="211"/>
        <v>脚</v>
      </c>
      <c r="L1001" s="2" t="str">
        <f t="shared" si="223"/>
        <v>4200123</v>
      </c>
      <c r="M1001" s="2" t="str">
        <f t="shared" si="224"/>
        <v>4200123</v>
      </c>
    </row>
    <row r="1002" spans="1:13" x14ac:dyDescent="0.15">
      <c r="A1002" s="2" t="str">
        <f t="shared" si="218"/>
        <v>1881110500</v>
      </c>
      <c r="B1002" s="2" t="str">
        <f t="shared" si="219"/>
        <v>佐伯・区政調整</v>
      </c>
      <c r="C1002" s="2" t="str">
        <f t="shared" si="216"/>
        <v>01ﾂ00108</v>
      </c>
      <c r="D1002" s="2" t="str">
        <f t="shared" si="217"/>
        <v>長机</v>
      </c>
      <c r="E1002" s="3" t="str">
        <f t="shared" si="220"/>
        <v>ＵＣＨＩＤＡ　６０Ｎ</v>
      </c>
      <c r="F1002" s="2" t="str">
        <f t="shared" si="221"/>
        <v>０００１</v>
      </c>
      <c r="G1002" s="2" t="str">
        <f>"4190005459"</f>
        <v>4190005459</v>
      </c>
      <c r="H1002" s="2" t="str">
        <f t="shared" si="210"/>
        <v>001</v>
      </c>
      <c r="I1002" s="2" t="str">
        <f t="shared" si="222"/>
        <v>4200123</v>
      </c>
      <c r="J1002" s="2">
        <f>24500</f>
        <v>24500</v>
      </c>
      <c r="K1002" s="2" t="str">
        <f t="shared" si="211"/>
        <v>脚</v>
      </c>
      <c r="L1002" s="2" t="str">
        <f t="shared" si="223"/>
        <v>4200123</v>
      </c>
      <c r="M1002" s="2" t="str">
        <f t="shared" si="224"/>
        <v>4200123</v>
      </c>
    </row>
    <row r="1003" spans="1:13" x14ac:dyDescent="0.15">
      <c r="A1003" s="2" t="str">
        <f t="shared" si="218"/>
        <v>1881110500</v>
      </c>
      <c r="B1003" s="2" t="str">
        <f t="shared" si="219"/>
        <v>佐伯・区政調整</v>
      </c>
      <c r="C1003" s="2" t="str">
        <f t="shared" si="216"/>
        <v>01ﾂ00108</v>
      </c>
      <c r="D1003" s="2" t="str">
        <f t="shared" si="217"/>
        <v>長机</v>
      </c>
      <c r="E1003" s="3" t="str">
        <f t="shared" si="220"/>
        <v>ＵＣＨＩＤＡ　６０Ｎ</v>
      </c>
      <c r="F1003" s="2" t="str">
        <f t="shared" si="221"/>
        <v>０００１</v>
      </c>
      <c r="G1003" s="2" t="str">
        <f>"4190005460"</f>
        <v>4190005460</v>
      </c>
      <c r="H1003" s="2" t="str">
        <f t="shared" si="210"/>
        <v>001</v>
      </c>
      <c r="I1003" s="2" t="str">
        <f t="shared" si="222"/>
        <v>4200123</v>
      </c>
      <c r="J1003" s="2">
        <f>24500</f>
        <v>24500</v>
      </c>
      <c r="K1003" s="2" t="str">
        <f t="shared" si="211"/>
        <v>脚</v>
      </c>
      <c r="L1003" s="2" t="str">
        <f t="shared" si="223"/>
        <v>4200123</v>
      </c>
      <c r="M1003" s="2" t="str">
        <f t="shared" si="224"/>
        <v>4200123</v>
      </c>
    </row>
    <row r="1004" spans="1:13" x14ac:dyDescent="0.15">
      <c r="A1004" s="2" t="str">
        <f t="shared" si="218"/>
        <v>1881110500</v>
      </c>
      <c r="B1004" s="2" t="str">
        <f t="shared" si="219"/>
        <v>佐伯・区政調整</v>
      </c>
      <c r="C1004" s="2" t="str">
        <f t="shared" si="216"/>
        <v>01ﾂ00108</v>
      </c>
      <c r="D1004" s="2" t="str">
        <f t="shared" si="217"/>
        <v>長机</v>
      </c>
      <c r="E1004" s="3" t="str">
        <f t="shared" si="220"/>
        <v>ＵＣＨＩＤＡ　６０Ｎ</v>
      </c>
      <c r="F1004" s="2" t="str">
        <f t="shared" si="221"/>
        <v>０００１</v>
      </c>
      <c r="G1004" s="2" t="str">
        <f>"4190005461"</f>
        <v>4190005461</v>
      </c>
      <c r="H1004" s="2" t="str">
        <f t="shared" ref="H1004:H1010" si="225">"001"</f>
        <v>001</v>
      </c>
      <c r="I1004" s="2" t="str">
        <f t="shared" si="222"/>
        <v>4200123</v>
      </c>
      <c r="J1004" s="2">
        <f>24500</f>
        <v>24500</v>
      </c>
      <c r="K1004" s="2" t="str">
        <f t="shared" si="211"/>
        <v>脚</v>
      </c>
      <c r="L1004" s="2" t="str">
        <f t="shared" si="223"/>
        <v>4200123</v>
      </c>
      <c r="M1004" s="2" t="str">
        <f t="shared" si="224"/>
        <v>4200123</v>
      </c>
    </row>
    <row r="1005" spans="1:13" x14ac:dyDescent="0.15">
      <c r="A1005" s="2" t="str">
        <f t="shared" si="218"/>
        <v>1881110500</v>
      </c>
      <c r="B1005" s="2" t="str">
        <f t="shared" si="219"/>
        <v>佐伯・区政調整</v>
      </c>
      <c r="C1005" s="2" t="str">
        <f t="shared" si="216"/>
        <v>01ﾂ00108</v>
      </c>
      <c r="D1005" s="2" t="str">
        <f t="shared" si="217"/>
        <v>長机</v>
      </c>
      <c r="E1005" s="3" t="str">
        <f t="shared" si="220"/>
        <v>ＵＣＨＩＤＡ　６０Ｎ</v>
      </c>
      <c r="F1005" s="2" t="str">
        <f t="shared" si="221"/>
        <v>０００１</v>
      </c>
      <c r="G1005" s="2" t="str">
        <f>"4190005462"</f>
        <v>4190005462</v>
      </c>
      <c r="H1005" s="2" t="str">
        <f t="shared" si="225"/>
        <v>001</v>
      </c>
      <c r="I1005" s="2" t="str">
        <f t="shared" si="222"/>
        <v>4200123</v>
      </c>
      <c r="J1005" s="2">
        <f>24500</f>
        <v>24500</v>
      </c>
      <c r="K1005" s="2" t="str">
        <f t="shared" si="211"/>
        <v>脚</v>
      </c>
      <c r="L1005" s="2" t="str">
        <f t="shared" si="223"/>
        <v>4200123</v>
      </c>
      <c r="M1005" s="2" t="str">
        <f t="shared" si="224"/>
        <v>4200123</v>
      </c>
    </row>
    <row r="1006" spans="1:13" x14ac:dyDescent="0.15">
      <c r="A1006" s="2" t="str">
        <f t="shared" si="218"/>
        <v>1881110500</v>
      </c>
      <c r="B1006" s="2" t="str">
        <f t="shared" si="219"/>
        <v>佐伯・区政調整</v>
      </c>
      <c r="C1006" s="2" t="str">
        <f t="shared" si="216"/>
        <v>01ﾂ00108</v>
      </c>
      <c r="D1006" s="2" t="str">
        <f t="shared" si="217"/>
        <v>長机</v>
      </c>
      <c r="E1006" s="3" t="str">
        <f t="shared" si="220"/>
        <v>ＵＣＨＩＤＡ　６０Ｎ</v>
      </c>
      <c r="F1006" s="2" t="str">
        <f t="shared" si="221"/>
        <v>０００１</v>
      </c>
      <c r="G1006" s="2" t="str">
        <f>"4190005463"</f>
        <v>4190005463</v>
      </c>
      <c r="H1006" s="2" t="str">
        <f t="shared" si="225"/>
        <v>001</v>
      </c>
      <c r="I1006" s="2" t="str">
        <f t="shared" si="222"/>
        <v>4200123</v>
      </c>
      <c r="J1006" s="2">
        <f>24500</f>
        <v>24500</v>
      </c>
      <c r="K1006" s="2" t="str">
        <f t="shared" si="211"/>
        <v>脚</v>
      </c>
      <c r="L1006" s="2" t="str">
        <f t="shared" si="223"/>
        <v>4200123</v>
      </c>
      <c r="M1006" s="2" t="str">
        <f t="shared" si="224"/>
        <v>4200123</v>
      </c>
    </row>
    <row r="1007" spans="1:13" x14ac:dyDescent="0.15">
      <c r="A1007" s="2" t="str">
        <f t="shared" si="218"/>
        <v>1881110500</v>
      </c>
      <c r="B1007" s="2" t="str">
        <f t="shared" si="219"/>
        <v>佐伯・区政調整</v>
      </c>
      <c r="C1007" s="2" t="str">
        <f t="shared" si="216"/>
        <v>01ﾂ00108</v>
      </c>
      <c r="D1007" s="2" t="str">
        <f t="shared" si="217"/>
        <v>長机</v>
      </c>
      <c r="E1007" s="3" t="str">
        <f t="shared" si="220"/>
        <v>ＵＣＨＩＤＡ　６０Ｎ</v>
      </c>
      <c r="F1007" s="2" t="str">
        <f t="shared" si="221"/>
        <v>０００１</v>
      </c>
      <c r="G1007" s="2" t="str">
        <f>"4190005464"</f>
        <v>4190005464</v>
      </c>
      <c r="H1007" s="2" t="str">
        <f t="shared" si="225"/>
        <v>001</v>
      </c>
      <c r="I1007" s="2" t="str">
        <f t="shared" si="222"/>
        <v>4200123</v>
      </c>
      <c r="J1007" s="2">
        <f>24500</f>
        <v>24500</v>
      </c>
      <c r="K1007" s="2" t="str">
        <f t="shared" si="211"/>
        <v>脚</v>
      </c>
      <c r="L1007" s="2" t="str">
        <f t="shared" si="223"/>
        <v>4200123</v>
      </c>
      <c r="M1007" s="2" t="str">
        <f t="shared" si="224"/>
        <v>4200123</v>
      </c>
    </row>
    <row r="1008" spans="1:13" x14ac:dyDescent="0.15">
      <c r="A1008" s="2" t="str">
        <f t="shared" si="218"/>
        <v>1881110500</v>
      </c>
      <c r="B1008" s="2" t="str">
        <f t="shared" si="219"/>
        <v>佐伯・区政調整</v>
      </c>
      <c r="C1008" s="2" t="str">
        <f t="shared" si="216"/>
        <v>01ﾂ00108</v>
      </c>
      <c r="D1008" s="2" t="str">
        <f t="shared" si="217"/>
        <v>長机</v>
      </c>
      <c r="E1008" s="3" t="str">
        <f t="shared" si="220"/>
        <v>ＵＣＨＩＤＡ　６０Ｎ</v>
      </c>
      <c r="F1008" s="2" t="str">
        <f t="shared" si="221"/>
        <v>０００１</v>
      </c>
      <c r="G1008" s="2" t="str">
        <f>"4190005465"</f>
        <v>4190005465</v>
      </c>
      <c r="H1008" s="2" t="str">
        <f t="shared" si="225"/>
        <v>001</v>
      </c>
      <c r="I1008" s="2" t="str">
        <f t="shared" si="222"/>
        <v>4200123</v>
      </c>
      <c r="J1008" s="2">
        <f>24500</f>
        <v>24500</v>
      </c>
      <c r="K1008" s="2" t="str">
        <f t="shared" si="211"/>
        <v>脚</v>
      </c>
      <c r="L1008" s="2" t="str">
        <f t="shared" si="223"/>
        <v>4200123</v>
      </c>
      <c r="M1008" s="2" t="str">
        <f t="shared" si="224"/>
        <v>4200123</v>
      </c>
    </row>
    <row r="1009" spans="1:13" x14ac:dyDescent="0.15">
      <c r="A1009" s="2" t="str">
        <f t="shared" si="218"/>
        <v>1881110500</v>
      </c>
      <c r="B1009" s="2" t="str">
        <f t="shared" si="219"/>
        <v>佐伯・区政調整</v>
      </c>
      <c r="C1009" s="2" t="str">
        <f t="shared" si="216"/>
        <v>01ﾂ00108</v>
      </c>
      <c r="D1009" s="2" t="str">
        <f t="shared" si="217"/>
        <v>長机</v>
      </c>
      <c r="E1009" s="3" t="str">
        <f t="shared" si="220"/>
        <v>ＵＣＨＩＤＡ　６０Ｎ</v>
      </c>
      <c r="F1009" s="2" t="str">
        <f t="shared" si="221"/>
        <v>０００１</v>
      </c>
      <c r="G1009" s="2" t="str">
        <f>"4190005466"</f>
        <v>4190005466</v>
      </c>
      <c r="H1009" s="2" t="str">
        <f t="shared" si="225"/>
        <v>001</v>
      </c>
      <c r="I1009" s="2" t="str">
        <f t="shared" si="222"/>
        <v>4200123</v>
      </c>
      <c r="J1009" s="2">
        <f>24500</f>
        <v>24500</v>
      </c>
      <c r="K1009" s="2" t="str">
        <f t="shared" si="211"/>
        <v>脚</v>
      </c>
      <c r="L1009" s="2" t="str">
        <f t="shared" si="223"/>
        <v>4200123</v>
      </c>
      <c r="M1009" s="2" t="str">
        <f t="shared" si="224"/>
        <v>4200123</v>
      </c>
    </row>
    <row r="1010" spans="1:13" x14ac:dyDescent="0.15">
      <c r="A1010" s="2" t="str">
        <f t="shared" si="218"/>
        <v>1881110500</v>
      </c>
      <c r="B1010" s="2" t="str">
        <f t="shared" si="219"/>
        <v>佐伯・区政調整</v>
      </c>
      <c r="C1010" s="2" t="str">
        <f t="shared" si="216"/>
        <v>01ﾂ00108</v>
      </c>
      <c r="D1010" s="2" t="str">
        <f t="shared" si="217"/>
        <v>長机</v>
      </c>
      <c r="E1010" s="3" t="str">
        <f t="shared" ref="E1010:E1041" si="226">"㈱ホウトク　Ｈ１１６ＡＢ－Ｔ４"</f>
        <v>㈱ホウトク　Ｈ１１６ＡＢ－Ｔ４</v>
      </c>
      <c r="F1010" s="2" t="str">
        <f t="shared" ref="F1010:F1041" si="227">"０００１"</f>
        <v>０００１</v>
      </c>
      <c r="G1010" s="2" t="str">
        <f t="shared" ref="G1010:G1041" si="228">"4300006337"</f>
        <v>4300006337</v>
      </c>
      <c r="H1010" s="2" t="str">
        <f t="shared" si="225"/>
        <v>001</v>
      </c>
      <c r="I1010" s="2" t="str">
        <f t="shared" ref="I1010:I1041" si="229">"4310307"</f>
        <v>4310307</v>
      </c>
      <c r="J1010" s="2">
        <f>47353</f>
        <v>47353</v>
      </c>
      <c r="K1010" s="2" t="str">
        <f t="shared" si="211"/>
        <v>脚</v>
      </c>
      <c r="L1010" s="2" t="str">
        <f t="shared" ref="L1010:L1041" si="230">"4310307"</f>
        <v>4310307</v>
      </c>
      <c r="M1010" s="2" t="str">
        <f t="shared" ref="M1010:M1041" si="231">"4310307"</f>
        <v>4310307</v>
      </c>
    </row>
    <row r="1011" spans="1:13" x14ac:dyDescent="0.15">
      <c r="A1011" s="2" t="str">
        <f t="shared" si="218"/>
        <v>1881110500</v>
      </c>
      <c r="B1011" s="2" t="str">
        <f t="shared" si="219"/>
        <v>佐伯・区政調整</v>
      </c>
      <c r="C1011" s="2" t="str">
        <f t="shared" si="216"/>
        <v>01ﾂ00108</v>
      </c>
      <c r="D1011" s="2" t="str">
        <f t="shared" si="217"/>
        <v>長机</v>
      </c>
      <c r="E1011" s="3" t="str">
        <f t="shared" si="226"/>
        <v>㈱ホウトク　Ｈ１１６ＡＢ－Ｔ４</v>
      </c>
      <c r="F1011" s="2" t="str">
        <f t="shared" si="227"/>
        <v>０００１</v>
      </c>
      <c r="G1011" s="2" t="str">
        <f t="shared" si="228"/>
        <v>4300006337</v>
      </c>
      <c r="H1011" s="2" t="str">
        <f>"002"</f>
        <v>002</v>
      </c>
      <c r="I1011" s="2" t="str">
        <f t="shared" si="229"/>
        <v>4310307</v>
      </c>
      <c r="J1011" s="2">
        <f>47353</f>
        <v>47353</v>
      </c>
      <c r="K1011" s="2" t="str">
        <f t="shared" si="211"/>
        <v>脚</v>
      </c>
      <c r="L1011" s="2" t="str">
        <f t="shared" si="230"/>
        <v>4310307</v>
      </c>
      <c r="M1011" s="2" t="str">
        <f t="shared" si="231"/>
        <v>4310307</v>
      </c>
    </row>
    <row r="1012" spans="1:13" x14ac:dyDescent="0.15">
      <c r="A1012" s="2" t="str">
        <f t="shared" si="218"/>
        <v>1881110500</v>
      </c>
      <c r="B1012" s="2" t="str">
        <f t="shared" si="219"/>
        <v>佐伯・区政調整</v>
      </c>
      <c r="C1012" s="2" t="str">
        <f t="shared" si="216"/>
        <v>01ﾂ00108</v>
      </c>
      <c r="D1012" s="2" t="str">
        <f t="shared" si="217"/>
        <v>長机</v>
      </c>
      <c r="E1012" s="3" t="str">
        <f t="shared" si="226"/>
        <v>㈱ホウトク　Ｈ１１６ＡＢ－Ｔ４</v>
      </c>
      <c r="F1012" s="2" t="str">
        <f t="shared" si="227"/>
        <v>０００１</v>
      </c>
      <c r="G1012" s="2" t="str">
        <f t="shared" si="228"/>
        <v>4300006337</v>
      </c>
      <c r="H1012" s="2" t="str">
        <f>"003"</f>
        <v>003</v>
      </c>
      <c r="I1012" s="2" t="str">
        <f t="shared" si="229"/>
        <v>4310307</v>
      </c>
      <c r="J1012" s="2">
        <f>47353</f>
        <v>47353</v>
      </c>
      <c r="K1012" s="2" t="str">
        <f t="shared" si="211"/>
        <v>脚</v>
      </c>
      <c r="L1012" s="2" t="str">
        <f t="shared" si="230"/>
        <v>4310307</v>
      </c>
      <c r="M1012" s="2" t="str">
        <f t="shared" si="231"/>
        <v>4310307</v>
      </c>
    </row>
    <row r="1013" spans="1:13" x14ac:dyDescent="0.15">
      <c r="A1013" s="2" t="str">
        <f t="shared" si="218"/>
        <v>1881110500</v>
      </c>
      <c r="B1013" s="2" t="str">
        <f t="shared" si="219"/>
        <v>佐伯・区政調整</v>
      </c>
      <c r="C1013" s="2" t="str">
        <f t="shared" si="216"/>
        <v>01ﾂ00108</v>
      </c>
      <c r="D1013" s="2" t="str">
        <f t="shared" si="217"/>
        <v>長机</v>
      </c>
      <c r="E1013" s="3" t="str">
        <f t="shared" si="226"/>
        <v>㈱ホウトク　Ｈ１１６ＡＢ－Ｔ４</v>
      </c>
      <c r="F1013" s="2" t="str">
        <f t="shared" si="227"/>
        <v>０００１</v>
      </c>
      <c r="G1013" s="2" t="str">
        <f t="shared" si="228"/>
        <v>4300006337</v>
      </c>
      <c r="H1013" s="2" t="str">
        <f>"004"</f>
        <v>004</v>
      </c>
      <c r="I1013" s="2" t="str">
        <f t="shared" si="229"/>
        <v>4310307</v>
      </c>
      <c r="J1013" s="2">
        <f>47353</f>
        <v>47353</v>
      </c>
      <c r="K1013" s="2" t="str">
        <f t="shared" si="211"/>
        <v>脚</v>
      </c>
      <c r="L1013" s="2" t="str">
        <f t="shared" si="230"/>
        <v>4310307</v>
      </c>
      <c r="M1013" s="2" t="str">
        <f t="shared" si="231"/>
        <v>4310307</v>
      </c>
    </row>
    <row r="1014" spans="1:13" x14ac:dyDescent="0.15">
      <c r="A1014" s="2" t="str">
        <f t="shared" si="218"/>
        <v>1881110500</v>
      </c>
      <c r="B1014" s="2" t="str">
        <f t="shared" si="219"/>
        <v>佐伯・区政調整</v>
      </c>
      <c r="C1014" s="2" t="str">
        <f t="shared" si="216"/>
        <v>01ﾂ00108</v>
      </c>
      <c r="D1014" s="2" t="str">
        <f t="shared" si="217"/>
        <v>長机</v>
      </c>
      <c r="E1014" s="3" t="str">
        <f t="shared" si="226"/>
        <v>㈱ホウトク　Ｈ１１６ＡＢ－Ｔ４</v>
      </c>
      <c r="F1014" s="2" t="str">
        <f t="shared" si="227"/>
        <v>０００１</v>
      </c>
      <c r="G1014" s="2" t="str">
        <f t="shared" si="228"/>
        <v>4300006337</v>
      </c>
      <c r="H1014" s="2" t="str">
        <f>"005"</f>
        <v>005</v>
      </c>
      <c r="I1014" s="2" t="str">
        <f t="shared" si="229"/>
        <v>4310307</v>
      </c>
      <c r="J1014" s="2">
        <f>47353</f>
        <v>47353</v>
      </c>
      <c r="K1014" s="2" t="str">
        <f t="shared" si="211"/>
        <v>脚</v>
      </c>
      <c r="L1014" s="2" t="str">
        <f t="shared" si="230"/>
        <v>4310307</v>
      </c>
      <c r="M1014" s="2" t="str">
        <f t="shared" si="231"/>
        <v>4310307</v>
      </c>
    </row>
    <row r="1015" spans="1:13" x14ac:dyDescent="0.15">
      <c r="A1015" s="2" t="str">
        <f t="shared" si="218"/>
        <v>1881110500</v>
      </c>
      <c r="B1015" s="2" t="str">
        <f t="shared" si="219"/>
        <v>佐伯・区政調整</v>
      </c>
      <c r="C1015" s="2" t="str">
        <f t="shared" si="216"/>
        <v>01ﾂ00108</v>
      </c>
      <c r="D1015" s="2" t="str">
        <f t="shared" si="217"/>
        <v>長机</v>
      </c>
      <c r="E1015" s="3" t="str">
        <f t="shared" si="226"/>
        <v>㈱ホウトク　Ｈ１１６ＡＢ－Ｔ４</v>
      </c>
      <c r="F1015" s="2" t="str">
        <f t="shared" si="227"/>
        <v>０００１</v>
      </c>
      <c r="G1015" s="2" t="str">
        <f t="shared" si="228"/>
        <v>4300006337</v>
      </c>
      <c r="H1015" s="2" t="str">
        <f>"006"</f>
        <v>006</v>
      </c>
      <c r="I1015" s="2" t="str">
        <f t="shared" si="229"/>
        <v>4310307</v>
      </c>
      <c r="J1015" s="2">
        <f>47353</f>
        <v>47353</v>
      </c>
      <c r="K1015" s="2" t="str">
        <f t="shared" si="211"/>
        <v>脚</v>
      </c>
      <c r="L1015" s="2" t="str">
        <f t="shared" si="230"/>
        <v>4310307</v>
      </c>
      <c r="M1015" s="2" t="str">
        <f t="shared" si="231"/>
        <v>4310307</v>
      </c>
    </row>
    <row r="1016" spans="1:13" x14ac:dyDescent="0.15">
      <c r="A1016" s="2" t="str">
        <f t="shared" si="218"/>
        <v>1881110500</v>
      </c>
      <c r="B1016" s="2" t="str">
        <f t="shared" si="219"/>
        <v>佐伯・区政調整</v>
      </c>
      <c r="C1016" s="2" t="str">
        <f t="shared" ref="C1016:C1047" si="232">"01ﾂ00108"</f>
        <v>01ﾂ00108</v>
      </c>
      <c r="D1016" s="2" t="str">
        <f t="shared" ref="D1016:D1047" si="233">"長机"</f>
        <v>長机</v>
      </c>
      <c r="E1016" s="3" t="str">
        <f t="shared" si="226"/>
        <v>㈱ホウトク　Ｈ１１６ＡＢ－Ｔ４</v>
      </c>
      <c r="F1016" s="2" t="str">
        <f t="shared" si="227"/>
        <v>０００１</v>
      </c>
      <c r="G1016" s="2" t="str">
        <f t="shared" si="228"/>
        <v>4300006337</v>
      </c>
      <c r="H1016" s="2" t="str">
        <f>"007"</f>
        <v>007</v>
      </c>
      <c r="I1016" s="2" t="str">
        <f t="shared" si="229"/>
        <v>4310307</v>
      </c>
      <c r="J1016" s="2">
        <f>47353</f>
        <v>47353</v>
      </c>
      <c r="K1016" s="2" t="str">
        <f t="shared" si="211"/>
        <v>脚</v>
      </c>
      <c r="L1016" s="2" t="str">
        <f t="shared" si="230"/>
        <v>4310307</v>
      </c>
      <c r="M1016" s="2" t="str">
        <f t="shared" si="231"/>
        <v>4310307</v>
      </c>
    </row>
    <row r="1017" spans="1:13" x14ac:dyDescent="0.15">
      <c r="A1017" s="2" t="str">
        <f t="shared" si="218"/>
        <v>1881110500</v>
      </c>
      <c r="B1017" s="2" t="str">
        <f t="shared" si="219"/>
        <v>佐伯・区政調整</v>
      </c>
      <c r="C1017" s="2" t="str">
        <f t="shared" si="232"/>
        <v>01ﾂ00108</v>
      </c>
      <c r="D1017" s="2" t="str">
        <f t="shared" si="233"/>
        <v>長机</v>
      </c>
      <c r="E1017" s="3" t="str">
        <f t="shared" si="226"/>
        <v>㈱ホウトク　Ｈ１１６ＡＢ－Ｔ４</v>
      </c>
      <c r="F1017" s="2" t="str">
        <f t="shared" si="227"/>
        <v>０００１</v>
      </c>
      <c r="G1017" s="2" t="str">
        <f t="shared" si="228"/>
        <v>4300006337</v>
      </c>
      <c r="H1017" s="2" t="str">
        <f>"008"</f>
        <v>008</v>
      </c>
      <c r="I1017" s="2" t="str">
        <f t="shared" si="229"/>
        <v>4310307</v>
      </c>
      <c r="J1017" s="2">
        <f>47353</f>
        <v>47353</v>
      </c>
      <c r="K1017" s="2" t="str">
        <f t="shared" si="211"/>
        <v>脚</v>
      </c>
      <c r="L1017" s="2" t="str">
        <f t="shared" si="230"/>
        <v>4310307</v>
      </c>
      <c r="M1017" s="2" t="str">
        <f t="shared" si="231"/>
        <v>4310307</v>
      </c>
    </row>
    <row r="1018" spans="1:13" x14ac:dyDescent="0.15">
      <c r="A1018" s="2" t="str">
        <f t="shared" si="218"/>
        <v>1881110500</v>
      </c>
      <c r="B1018" s="2" t="str">
        <f t="shared" si="219"/>
        <v>佐伯・区政調整</v>
      </c>
      <c r="C1018" s="2" t="str">
        <f t="shared" si="232"/>
        <v>01ﾂ00108</v>
      </c>
      <c r="D1018" s="2" t="str">
        <f t="shared" si="233"/>
        <v>長机</v>
      </c>
      <c r="E1018" s="3" t="str">
        <f t="shared" si="226"/>
        <v>㈱ホウトク　Ｈ１１６ＡＢ－Ｔ４</v>
      </c>
      <c r="F1018" s="2" t="str">
        <f t="shared" si="227"/>
        <v>０００１</v>
      </c>
      <c r="G1018" s="2" t="str">
        <f t="shared" si="228"/>
        <v>4300006337</v>
      </c>
      <c r="H1018" s="2" t="str">
        <f>"009"</f>
        <v>009</v>
      </c>
      <c r="I1018" s="2" t="str">
        <f t="shared" si="229"/>
        <v>4310307</v>
      </c>
      <c r="J1018" s="2">
        <f>47353</f>
        <v>47353</v>
      </c>
      <c r="K1018" s="2" t="str">
        <f t="shared" si="211"/>
        <v>脚</v>
      </c>
      <c r="L1018" s="2" t="str">
        <f t="shared" si="230"/>
        <v>4310307</v>
      </c>
      <c r="M1018" s="2" t="str">
        <f t="shared" si="231"/>
        <v>4310307</v>
      </c>
    </row>
    <row r="1019" spans="1:13" x14ac:dyDescent="0.15">
      <c r="A1019" s="2" t="str">
        <f t="shared" si="218"/>
        <v>1881110500</v>
      </c>
      <c r="B1019" s="2" t="str">
        <f t="shared" si="219"/>
        <v>佐伯・区政調整</v>
      </c>
      <c r="C1019" s="2" t="str">
        <f t="shared" si="232"/>
        <v>01ﾂ00108</v>
      </c>
      <c r="D1019" s="2" t="str">
        <f t="shared" si="233"/>
        <v>長机</v>
      </c>
      <c r="E1019" s="3" t="str">
        <f t="shared" si="226"/>
        <v>㈱ホウトク　Ｈ１１６ＡＢ－Ｔ４</v>
      </c>
      <c r="F1019" s="2" t="str">
        <f t="shared" si="227"/>
        <v>０００１</v>
      </c>
      <c r="G1019" s="2" t="str">
        <f t="shared" si="228"/>
        <v>4300006337</v>
      </c>
      <c r="H1019" s="2" t="str">
        <f>"010"</f>
        <v>010</v>
      </c>
      <c r="I1019" s="2" t="str">
        <f t="shared" si="229"/>
        <v>4310307</v>
      </c>
      <c r="J1019" s="2">
        <f>47353</f>
        <v>47353</v>
      </c>
      <c r="K1019" s="2" t="str">
        <f t="shared" si="211"/>
        <v>脚</v>
      </c>
      <c r="L1019" s="2" t="str">
        <f t="shared" si="230"/>
        <v>4310307</v>
      </c>
      <c r="M1019" s="2" t="str">
        <f t="shared" si="231"/>
        <v>4310307</v>
      </c>
    </row>
    <row r="1020" spans="1:13" x14ac:dyDescent="0.15">
      <c r="A1020" s="2" t="str">
        <f t="shared" si="218"/>
        <v>1881110500</v>
      </c>
      <c r="B1020" s="2" t="str">
        <f t="shared" si="219"/>
        <v>佐伯・区政調整</v>
      </c>
      <c r="C1020" s="2" t="str">
        <f t="shared" si="232"/>
        <v>01ﾂ00108</v>
      </c>
      <c r="D1020" s="2" t="str">
        <f t="shared" si="233"/>
        <v>長机</v>
      </c>
      <c r="E1020" s="3" t="str">
        <f t="shared" si="226"/>
        <v>㈱ホウトク　Ｈ１１６ＡＢ－Ｔ４</v>
      </c>
      <c r="F1020" s="2" t="str">
        <f t="shared" si="227"/>
        <v>０００１</v>
      </c>
      <c r="G1020" s="2" t="str">
        <f t="shared" si="228"/>
        <v>4300006337</v>
      </c>
      <c r="H1020" s="2" t="str">
        <f>"011"</f>
        <v>011</v>
      </c>
      <c r="I1020" s="2" t="str">
        <f t="shared" si="229"/>
        <v>4310307</v>
      </c>
      <c r="J1020" s="2">
        <f>47353</f>
        <v>47353</v>
      </c>
      <c r="K1020" s="2" t="str">
        <f t="shared" si="211"/>
        <v>脚</v>
      </c>
      <c r="L1020" s="2" t="str">
        <f t="shared" si="230"/>
        <v>4310307</v>
      </c>
      <c r="M1020" s="2" t="str">
        <f t="shared" si="231"/>
        <v>4310307</v>
      </c>
    </row>
    <row r="1021" spans="1:13" x14ac:dyDescent="0.15">
      <c r="A1021" s="2" t="str">
        <f t="shared" si="218"/>
        <v>1881110500</v>
      </c>
      <c r="B1021" s="2" t="str">
        <f t="shared" si="219"/>
        <v>佐伯・区政調整</v>
      </c>
      <c r="C1021" s="2" t="str">
        <f t="shared" si="232"/>
        <v>01ﾂ00108</v>
      </c>
      <c r="D1021" s="2" t="str">
        <f t="shared" si="233"/>
        <v>長机</v>
      </c>
      <c r="E1021" s="3" t="str">
        <f t="shared" si="226"/>
        <v>㈱ホウトク　Ｈ１１６ＡＢ－Ｔ４</v>
      </c>
      <c r="F1021" s="2" t="str">
        <f t="shared" si="227"/>
        <v>０００１</v>
      </c>
      <c r="G1021" s="2" t="str">
        <f t="shared" si="228"/>
        <v>4300006337</v>
      </c>
      <c r="H1021" s="2" t="str">
        <f>"012"</f>
        <v>012</v>
      </c>
      <c r="I1021" s="2" t="str">
        <f t="shared" si="229"/>
        <v>4310307</v>
      </c>
      <c r="J1021" s="2">
        <f>47353</f>
        <v>47353</v>
      </c>
      <c r="K1021" s="2" t="str">
        <f t="shared" si="211"/>
        <v>脚</v>
      </c>
      <c r="L1021" s="2" t="str">
        <f t="shared" si="230"/>
        <v>4310307</v>
      </c>
      <c r="M1021" s="2" t="str">
        <f t="shared" si="231"/>
        <v>4310307</v>
      </c>
    </row>
    <row r="1022" spans="1:13" x14ac:dyDescent="0.15">
      <c r="A1022" s="2" t="str">
        <f t="shared" si="218"/>
        <v>1881110500</v>
      </c>
      <c r="B1022" s="2" t="str">
        <f t="shared" si="219"/>
        <v>佐伯・区政調整</v>
      </c>
      <c r="C1022" s="2" t="str">
        <f t="shared" si="232"/>
        <v>01ﾂ00108</v>
      </c>
      <c r="D1022" s="2" t="str">
        <f t="shared" si="233"/>
        <v>長机</v>
      </c>
      <c r="E1022" s="3" t="str">
        <f t="shared" si="226"/>
        <v>㈱ホウトク　Ｈ１１６ＡＢ－Ｔ４</v>
      </c>
      <c r="F1022" s="2" t="str">
        <f t="shared" si="227"/>
        <v>０００１</v>
      </c>
      <c r="G1022" s="2" t="str">
        <f t="shared" si="228"/>
        <v>4300006337</v>
      </c>
      <c r="H1022" s="2" t="str">
        <f>"013"</f>
        <v>013</v>
      </c>
      <c r="I1022" s="2" t="str">
        <f t="shared" si="229"/>
        <v>4310307</v>
      </c>
      <c r="J1022" s="2">
        <f>47353</f>
        <v>47353</v>
      </c>
      <c r="K1022" s="2" t="str">
        <f t="shared" si="211"/>
        <v>脚</v>
      </c>
      <c r="L1022" s="2" t="str">
        <f t="shared" si="230"/>
        <v>4310307</v>
      </c>
      <c r="M1022" s="2" t="str">
        <f t="shared" si="231"/>
        <v>4310307</v>
      </c>
    </row>
    <row r="1023" spans="1:13" x14ac:dyDescent="0.15">
      <c r="A1023" s="2" t="str">
        <f t="shared" si="218"/>
        <v>1881110500</v>
      </c>
      <c r="B1023" s="2" t="str">
        <f t="shared" si="219"/>
        <v>佐伯・区政調整</v>
      </c>
      <c r="C1023" s="2" t="str">
        <f t="shared" si="232"/>
        <v>01ﾂ00108</v>
      </c>
      <c r="D1023" s="2" t="str">
        <f t="shared" si="233"/>
        <v>長机</v>
      </c>
      <c r="E1023" s="3" t="str">
        <f t="shared" si="226"/>
        <v>㈱ホウトク　Ｈ１１６ＡＢ－Ｔ４</v>
      </c>
      <c r="F1023" s="2" t="str">
        <f t="shared" si="227"/>
        <v>０００１</v>
      </c>
      <c r="G1023" s="2" t="str">
        <f t="shared" si="228"/>
        <v>4300006337</v>
      </c>
      <c r="H1023" s="2" t="str">
        <f>"014"</f>
        <v>014</v>
      </c>
      <c r="I1023" s="2" t="str">
        <f t="shared" si="229"/>
        <v>4310307</v>
      </c>
      <c r="J1023" s="2">
        <f>47353</f>
        <v>47353</v>
      </c>
      <c r="K1023" s="2" t="str">
        <f t="shared" si="211"/>
        <v>脚</v>
      </c>
      <c r="L1023" s="2" t="str">
        <f t="shared" si="230"/>
        <v>4310307</v>
      </c>
      <c r="M1023" s="2" t="str">
        <f t="shared" si="231"/>
        <v>4310307</v>
      </c>
    </row>
    <row r="1024" spans="1:13" x14ac:dyDescent="0.15">
      <c r="A1024" s="2" t="str">
        <f t="shared" si="218"/>
        <v>1881110500</v>
      </c>
      <c r="B1024" s="2" t="str">
        <f t="shared" si="219"/>
        <v>佐伯・区政調整</v>
      </c>
      <c r="C1024" s="2" t="str">
        <f t="shared" si="232"/>
        <v>01ﾂ00108</v>
      </c>
      <c r="D1024" s="2" t="str">
        <f t="shared" si="233"/>
        <v>長机</v>
      </c>
      <c r="E1024" s="3" t="str">
        <f t="shared" si="226"/>
        <v>㈱ホウトク　Ｈ１１６ＡＢ－Ｔ４</v>
      </c>
      <c r="F1024" s="2" t="str">
        <f t="shared" si="227"/>
        <v>０００１</v>
      </c>
      <c r="G1024" s="2" t="str">
        <f t="shared" si="228"/>
        <v>4300006337</v>
      </c>
      <c r="H1024" s="2" t="str">
        <f>"015"</f>
        <v>015</v>
      </c>
      <c r="I1024" s="2" t="str">
        <f t="shared" si="229"/>
        <v>4310307</v>
      </c>
      <c r="J1024" s="2">
        <f>47353</f>
        <v>47353</v>
      </c>
      <c r="K1024" s="2" t="str">
        <f t="shared" si="211"/>
        <v>脚</v>
      </c>
      <c r="L1024" s="2" t="str">
        <f t="shared" si="230"/>
        <v>4310307</v>
      </c>
      <c r="M1024" s="2" t="str">
        <f t="shared" si="231"/>
        <v>4310307</v>
      </c>
    </row>
    <row r="1025" spans="1:13" x14ac:dyDescent="0.15">
      <c r="A1025" s="2" t="str">
        <f t="shared" si="218"/>
        <v>1881110500</v>
      </c>
      <c r="B1025" s="2" t="str">
        <f t="shared" si="219"/>
        <v>佐伯・区政調整</v>
      </c>
      <c r="C1025" s="2" t="str">
        <f t="shared" si="232"/>
        <v>01ﾂ00108</v>
      </c>
      <c r="D1025" s="2" t="str">
        <f t="shared" si="233"/>
        <v>長机</v>
      </c>
      <c r="E1025" s="3" t="str">
        <f t="shared" si="226"/>
        <v>㈱ホウトク　Ｈ１１６ＡＢ－Ｔ４</v>
      </c>
      <c r="F1025" s="2" t="str">
        <f t="shared" si="227"/>
        <v>０００１</v>
      </c>
      <c r="G1025" s="2" t="str">
        <f t="shared" si="228"/>
        <v>4300006337</v>
      </c>
      <c r="H1025" s="2" t="str">
        <f>"016"</f>
        <v>016</v>
      </c>
      <c r="I1025" s="2" t="str">
        <f t="shared" si="229"/>
        <v>4310307</v>
      </c>
      <c r="J1025" s="2">
        <f>47353</f>
        <v>47353</v>
      </c>
      <c r="K1025" s="2" t="str">
        <f t="shared" si="211"/>
        <v>脚</v>
      </c>
      <c r="L1025" s="2" t="str">
        <f t="shared" si="230"/>
        <v>4310307</v>
      </c>
      <c r="M1025" s="2" t="str">
        <f t="shared" si="231"/>
        <v>4310307</v>
      </c>
    </row>
    <row r="1026" spans="1:13" x14ac:dyDescent="0.15">
      <c r="A1026" s="2" t="str">
        <f t="shared" si="218"/>
        <v>1881110500</v>
      </c>
      <c r="B1026" s="2" t="str">
        <f t="shared" si="219"/>
        <v>佐伯・区政調整</v>
      </c>
      <c r="C1026" s="2" t="str">
        <f t="shared" si="232"/>
        <v>01ﾂ00108</v>
      </c>
      <c r="D1026" s="2" t="str">
        <f t="shared" si="233"/>
        <v>長机</v>
      </c>
      <c r="E1026" s="3" t="str">
        <f t="shared" si="226"/>
        <v>㈱ホウトク　Ｈ１１６ＡＢ－Ｔ４</v>
      </c>
      <c r="F1026" s="2" t="str">
        <f t="shared" si="227"/>
        <v>０００１</v>
      </c>
      <c r="G1026" s="2" t="str">
        <f t="shared" si="228"/>
        <v>4300006337</v>
      </c>
      <c r="H1026" s="2" t="str">
        <f>"017"</f>
        <v>017</v>
      </c>
      <c r="I1026" s="2" t="str">
        <f t="shared" si="229"/>
        <v>4310307</v>
      </c>
      <c r="J1026" s="2">
        <f>47353</f>
        <v>47353</v>
      </c>
      <c r="K1026" s="2" t="str">
        <f t="shared" si="211"/>
        <v>脚</v>
      </c>
      <c r="L1026" s="2" t="str">
        <f t="shared" si="230"/>
        <v>4310307</v>
      </c>
      <c r="M1026" s="2" t="str">
        <f t="shared" si="231"/>
        <v>4310307</v>
      </c>
    </row>
    <row r="1027" spans="1:13" x14ac:dyDescent="0.15">
      <c r="A1027" s="2" t="str">
        <f t="shared" si="218"/>
        <v>1881110500</v>
      </c>
      <c r="B1027" s="2" t="str">
        <f t="shared" si="219"/>
        <v>佐伯・区政調整</v>
      </c>
      <c r="C1027" s="2" t="str">
        <f t="shared" si="232"/>
        <v>01ﾂ00108</v>
      </c>
      <c r="D1027" s="2" t="str">
        <f t="shared" si="233"/>
        <v>長机</v>
      </c>
      <c r="E1027" s="3" t="str">
        <f t="shared" si="226"/>
        <v>㈱ホウトク　Ｈ１１６ＡＢ－Ｔ４</v>
      </c>
      <c r="F1027" s="2" t="str">
        <f t="shared" si="227"/>
        <v>０００１</v>
      </c>
      <c r="G1027" s="2" t="str">
        <f t="shared" si="228"/>
        <v>4300006337</v>
      </c>
      <c r="H1027" s="2" t="str">
        <f>"018"</f>
        <v>018</v>
      </c>
      <c r="I1027" s="2" t="str">
        <f t="shared" si="229"/>
        <v>4310307</v>
      </c>
      <c r="J1027" s="2">
        <f>47353</f>
        <v>47353</v>
      </c>
      <c r="K1027" s="2" t="str">
        <f t="shared" si="211"/>
        <v>脚</v>
      </c>
      <c r="L1027" s="2" t="str">
        <f t="shared" si="230"/>
        <v>4310307</v>
      </c>
      <c r="M1027" s="2" t="str">
        <f t="shared" si="231"/>
        <v>4310307</v>
      </c>
    </row>
    <row r="1028" spans="1:13" x14ac:dyDescent="0.15">
      <c r="A1028" s="2" t="str">
        <f t="shared" si="218"/>
        <v>1881110500</v>
      </c>
      <c r="B1028" s="2" t="str">
        <f t="shared" si="219"/>
        <v>佐伯・区政調整</v>
      </c>
      <c r="C1028" s="2" t="str">
        <f t="shared" si="232"/>
        <v>01ﾂ00108</v>
      </c>
      <c r="D1028" s="2" t="str">
        <f t="shared" si="233"/>
        <v>長机</v>
      </c>
      <c r="E1028" s="3" t="str">
        <f t="shared" si="226"/>
        <v>㈱ホウトク　Ｈ１１６ＡＢ－Ｔ４</v>
      </c>
      <c r="F1028" s="2" t="str">
        <f t="shared" si="227"/>
        <v>０００１</v>
      </c>
      <c r="G1028" s="2" t="str">
        <f t="shared" si="228"/>
        <v>4300006337</v>
      </c>
      <c r="H1028" s="2" t="str">
        <f>"019"</f>
        <v>019</v>
      </c>
      <c r="I1028" s="2" t="str">
        <f t="shared" si="229"/>
        <v>4310307</v>
      </c>
      <c r="J1028" s="2">
        <f>47353</f>
        <v>47353</v>
      </c>
      <c r="K1028" s="2" t="str">
        <f t="shared" si="211"/>
        <v>脚</v>
      </c>
      <c r="L1028" s="2" t="str">
        <f t="shared" si="230"/>
        <v>4310307</v>
      </c>
      <c r="M1028" s="2" t="str">
        <f t="shared" si="231"/>
        <v>4310307</v>
      </c>
    </row>
    <row r="1029" spans="1:13" x14ac:dyDescent="0.15">
      <c r="A1029" s="2" t="str">
        <f t="shared" si="218"/>
        <v>1881110500</v>
      </c>
      <c r="B1029" s="2" t="str">
        <f t="shared" si="219"/>
        <v>佐伯・区政調整</v>
      </c>
      <c r="C1029" s="2" t="str">
        <f t="shared" si="232"/>
        <v>01ﾂ00108</v>
      </c>
      <c r="D1029" s="2" t="str">
        <f t="shared" si="233"/>
        <v>長机</v>
      </c>
      <c r="E1029" s="3" t="str">
        <f t="shared" si="226"/>
        <v>㈱ホウトク　Ｈ１１６ＡＢ－Ｔ４</v>
      </c>
      <c r="F1029" s="2" t="str">
        <f t="shared" si="227"/>
        <v>０００１</v>
      </c>
      <c r="G1029" s="2" t="str">
        <f t="shared" si="228"/>
        <v>4300006337</v>
      </c>
      <c r="H1029" s="2" t="str">
        <f>"020"</f>
        <v>020</v>
      </c>
      <c r="I1029" s="2" t="str">
        <f t="shared" si="229"/>
        <v>4310307</v>
      </c>
      <c r="J1029" s="2">
        <f>47353</f>
        <v>47353</v>
      </c>
      <c r="K1029" s="2" t="str">
        <f t="shared" si="211"/>
        <v>脚</v>
      </c>
      <c r="L1029" s="2" t="str">
        <f t="shared" si="230"/>
        <v>4310307</v>
      </c>
      <c r="M1029" s="2" t="str">
        <f t="shared" si="231"/>
        <v>4310307</v>
      </c>
    </row>
    <row r="1030" spans="1:13" x14ac:dyDescent="0.15">
      <c r="A1030" s="2" t="str">
        <f t="shared" si="218"/>
        <v>1881110500</v>
      </c>
      <c r="B1030" s="2" t="str">
        <f t="shared" si="219"/>
        <v>佐伯・区政調整</v>
      </c>
      <c r="C1030" s="2" t="str">
        <f t="shared" si="232"/>
        <v>01ﾂ00108</v>
      </c>
      <c r="D1030" s="2" t="str">
        <f t="shared" si="233"/>
        <v>長机</v>
      </c>
      <c r="E1030" s="3" t="str">
        <f t="shared" si="226"/>
        <v>㈱ホウトク　Ｈ１１６ＡＢ－Ｔ４</v>
      </c>
      <c r="F1030" s="2" t="str">
        <f t="shared" si="227"/>
        <v>０００１</v>
      </c>
      <c r="G1030" s="2" t="str">
        <f t="shared" si="228"/>
        <v>4300006337</v>
      </c>
      <c r="H1030" s="2" t="str">
        <f>"021"</f>
        <v>021</v>
      </c>
      <c r="I1030" s="2" t="str">
        <f t="shared" si="229"/>
        <v>4310307</v>
      </c>
      <c r="J1030" s="2">
        <f>47353</f>
        <v>47353</v>
      </c>
      <c r="K1030" s="2" t="str">
        <f t="shared" si="211"/>
        <v>脚</v>
      </c>
      <c r="L1030" s="2" t="str">
        <f t="shared" si="230"/>
        <v>4310307</v>
      </c>
      <c r="M1030" s="2" t="str">
        <f t="shared" si="231"/>
        <v>4310307</v>
      </c>
    </row>
    <row r="1031" spans="1:13" x14ac:dyDescent="0.15">
      <c r="A1031" s="2" t="str">
        <f t="shared" si="218"/>
        <v>1881110500</v>
      </c>
      <c r="B1031" s="2" t="str">
        <f t="shared" si="219"/>
        <v>佐伯・区政調整</v>
      </c>
      <c r="C1031" s="2" t="str">
        <f t="shared" si="232"/>
        <v>01ﾂ00108</v>
      </c>
      <c r="D1031" s="2" t="str">
        <f t="shared" si="233"/>
        <v>長机</v>
      </c>
      <c r="E1031" s="3" t="str">
        <f t="shared" si="226"/>
        <v>㈱ホウトク　Ｈ１１６ＡＢ－Ｔ４</v>
      </c>
      <c r="F1031" s="2" t="str">
        <f t="shared" si="227"/>
        <v>０００１</v>
      </c>
      <c r="G1031" s="2" t="str">
        <f t="shared" si="228"/>
        <v>4300006337</v>
      </c>
      <c r="H1031" s="2" t="str">
        <f>"022"</f>
        <v>022</v>
      </c>
      <c r="I1031" s="2" t="str">
        <f t="shared" si="229"/>
        <v>4310307</v>
      </c>
      <c r="J1031" s="2">
        <f>47353</f>
        <v>47353</v>
      </c>
      <c r="K1031" s="2" t="str">
        <f t="shared" si="211"/>
        <v>脚</v>
      </c>
      <c r="L1031" s="2" t="str">
        <f t="shared" si="230"/>
        <v>4310307</v>
      </c>
      <c r="M1031" s="2" t="str">
        <f t="shared" si="231"/>
        <v>4310307</v>
      </c>
    </row>
    <row r="1032" spans="1:13" x14ac:dyDescent="0.15">
      <c r="A1032" s="2" t="str">
        <f t="shared" si="218"/>
        <v>1881110500</v>
      </c>
      <c r="B1032" s="2" t="str">
        <f t="shared" si="219"/>
        <v>佐伯・区政調整</v>
      </c>
      <c r="C1032" s="2" t="str">
        <f t="shared" si="232"/>
        <v>01ﾂ00108</v>
      </c>
      <c r="D1032" s="2" t="str">
        <f t="shared" si="233"/>
        <v>長机</v>
      </c>
      <c r="E1032" s="3" t="str">
        <f t="shared" si="226"/>
        <v>㈱ホウトク　Ｈ１１６ＡＢ－Ｔ４</v>
      </c>
      <c r="F1032" s="2" t="str">
        <f t="shared" si="227"/>
        <v>０００１</v>
      </c>
      <c r="G1032" s="2" t="str">
        <f t="shared" si="228"/>
        <v>4300006337</v>
      </c>
      <c r="H1032" s="2" t="str">
        <f>"023"</f>
        <v>023</v>
      </c>
      <c r="I1032" s="2" t="str">
        <f t="shared" si="229"/>
        <v>4310307</v>
      </c>
      <c r="J1032" s="2">
        <f>47353</f>
        <v>47353</v>
      </c>
      <c r="K1032" s="2" t="str">
        <f t="shared" si="211"/>
        <v>脚</v>
      </c>
      <c r="L1032" s="2" t="str">
        <f t="shared" si="230"/>
        <v>4310307</v>
      </c>
      <c r="M1032" s="2" t="str">
        <f t="shared" si="231"/>
        <v>4310307</v>
      </c>
    </row>
    <row r="1033" spans="1:13" x14ac:dyDescent="0.15">
      <c r="A1033" s="2" t="str">
        <f t="shared" si="218"/>
        <v>1881110500</v>
      </c>
      <c r="B1033" s="2" t="str">
        <f t="shared" si="219"/>
        <v>佐伯・区政調整</v>
      </c>
      <c r="C1033" s="2" t="str">
        <f t="shared" si="232"/>
        <v>01ﾂ00108</v>
      </c>
      <c r="D1033" s="2" t="str">
        <f t="shared" si="233"/>
        <v>長机</v>
      </c>
      <c r="E1033" s="3" t="str">
        <f t="shared" si="226"/>
        <v>㈱ホウトク　Ｈ１１６ＡＢ－Ｔ４</v>
      </c>
      <c r="F1033" s="2" t="str">
        <f t="shared" si="227"/>
        <v>０００１</v>
      </c>
      <c r="G1033" s="2" t="str">
        <f t="shared" si="228"/>
        <v>4300006337</v>
      </c>
      <c r="H1033" s="2" t="str">
        <f>"024"</f>
        <v>024</v>
      </c>
      <c r="I1033" s="2" t="str">
        <f t="shared" si="229"/>
        <v>4310307</v>
      </c>
      <c r="J1033" s="2">
        <f>47353</f>
        <v>47353</v>
      </c>
      <c r="K1033" s="2" t="str">
        <f t="shared" si="211"/>
        <v>脚</v>
      </c>
      <c r="L1033" s="2" t="str">
        <f t="shared" si="230"/>
        <v>4310307</v>
      </c>
      <c r="M1033" s="2" t="str">
        <f t="shared" si="231"/>
        <v>4310307</v>
      </c>
    </row>
    <row r="1034" spans="1:13" x14ac:dyDescent="0.15">
      <c r="A1034" s="2" t="str">
        <f t="shared" si="218"/>
        <v>1881110500</v>
      </c>
      <c r="B1034" s="2" t="str">
        <f t="shared" si="219"/>
        <v>佐伯・区政調整</v>
      </c>
      <c r="C1034" s="2" t="str">
        <f t="shared" si="232"/>
        <v>01ﾂ00108</v>
      </c>
      <c r="D1034" s="2" t="str">
        <f t="shared" si="233"/>
        <v>長机</v>
      </c>
      <c r="E1034" s="3" t="str">
        <f t="shared" si="226"/>
        <v>㈱ホウトク　Ｈ１１６ＡＢ－Ｔ４</v>
      </c>
      <c r="F1034" s="2" t="str">
        <f t="shared" si="227"/>
        <v>０００１</v>
      </c>
      <c r="G1034" s="2" t="str">
        <f t="shared" si="228"/>
        <v>4300006337</v>
      </c>
      <c r="H1034" s="2" t="str">
        <f>"025"</f>
        <v>025</v>
      </c>
      <c r="I1034" s="2" t="str">
        <f t="shared" si="229"/>
        <v>4310307</v>
      </c>
      <c r="J1034" s="2">
        <f>47353</f>
        <v>47353</v>
      </c>
      <c r="K1034" s="2" t="str">
        <f t="shared" si="211"/>
        <v>脚</v>
      </c>
      <c r="L1034" s="2" t="str">
        <f t="shared" si="230"/>
        <v>4310307</v>
      </c>
      <c r="M1034" s="2" t="str">
        <f t="shared" si="231"/>
        <v>4310307</v>
      </c>
    </row>
    <row r="1035" spans="1:13" x14ac:dyDescent="0.15">
      <c r="A1035" s="2" t="str">
        <f t="shared" si="218"/>
        <v>1881110500</v>
      </c>
      <c r="B1035" s="2" t="str">
        <f t="shared" si="219"/>
        <v>佐伯・区政調整</v>
      </c>
      <c r="C1035" s="2" t="str">
        <f t="shared" si="232"/>
        <v>01ﾂ00108</v>
      </c>
      <c r="D1035" s="2" t="str">
        <f t="shared" si="233"/>
        <v>長机</v>
      </c>
      <c r="E1035" s="3" t="str">
        <f t="shared" si="226"/>
        <v>㈱ホウトク　Ｈ１１６ＡＢ－Ｔ４</v>
      </c>
      <c r="F1035" s="2" t="str">
        <f t="shared" si="227"/>
        <v>０００１</v>
      </c>
      <c r="G1035" s="2" t="str">
        <f t="shared" si="228"/>
        <v>4300006337</v>
      </c>
      <c r="H1035" s="2" t="str">
        <f>"026"</f>
        <v>026</v>
      </c>
      <c r="I1035" s="2" t="str">
        <f t="shared" si="229"/>
        <v>4310307</v>
      </c>
      <c r="J1035" s="2">
        <f>47353</f>
        <v>47353</v>
      </c>
      <c r="K1035" s="2" t="str">
        <f t="shared" ref="K1035:K1063" si="234">"脚"</f>
        <v>脚</v>
      </c>
      <c r="L1035" s="2" t="str">
        <f t="shared" si="230"/>
        <v>4310307</v>
      </c>
      <c r="M1035" s="2" t="str">
        <f t="shared" si="231"/>
        <v>4310307</v>
      </c>
    </row>
    <row r="1036" spans="1:13" x14ac:dyDescent="0.15">
      <c r="A1036" s="2" t="str">
        <f t="shared" si="218"/>
        <v>1881110500</v>
      </c>
      <c r="B1036" s="2" t="str">
        <f t="shared" si="219"/>
        <v>佐伯・区政調整</v>
      </c>
      <c r="C1036" s="2" t="str">
        <f t="shared" si="232"/>
        <v>01ﾂ00108</v>
      </c>
      <c r="D1036" s="2" t="str">
        <f t="shared" si="233"/>
        <v>長机</v>
      </c>
      <c r="E1036" s="3" t="str">
        <f t="shared" si="226"/>
        <v>㈱ホウトク　Ｈ１１６ＡＢ－Ｔ４</v>
      </c>
      <c r="F1036" s="2" t="str">
        <f t="shared" si="227"/>
        <v>０００１</v>
      </c>
      <c r="G1036" s="2" t="str">
        <f t="shared" si="228"/>
        <v>4300006337</v>
      </c>
      <c r="H1036" s="2" t="str">
        <f>"027"</f>
        <v>027</v>
      </c>
      <c r="I1036" s="2" t="str">
        <f t="shared" si="229"/>
        <v>4310307</v>
      </c>
      <c r="J1036" s="2">
        <f>47353</f>
        <v>47353</v>
      </c>
      <c r="K1036" s="2" t="str">
        <f t="shared" si="234"/>
        <v>脚</v>
      </c>
      <c r="L1036" s="2" t="str">
        <f t="shared" si="230"/>
        <v>4310307</v>
      </c>
      <c r="M1036" s="2" t="str">
        <f t="shared" si="231"/>
        <v>4310307</v>
      </c>
    </row>
    <row r="1037" spans="1:13" x14ac:dyDescent="0.15">
      <c r="A1037" s="2" t="str">
        <f t="shared" si="218"/>
        <v>1881110500</v>
      </c>
      <c r="B1037" s="2" t="str">
        <f t="shared" si="219"/>
        <v>佐伯・区政調整</v>
      </c>
      <c r="C1037" s="2" t="str">
        <f t="shared" si="232"/>
        <v>01ﾂ00108</v>
      </c>
      <c r="D1037" s="2" t="str">
        <f t="shared" si="233"/>
        <v>長机</v>
      </c>
      <c r="E1037" s="3" t="str">
        <f t="shared" si="226"/>
        <v>㈱ホウトク　Ｈ１１６ＡＢ－Ｔ４</v>
      </c>
      <c r="F1037" s="2" t="str">
        <f t="shared" si="227"/>
        <v>０００１</v>
      </c>
      <c r="G1037" s="2" t="str">
        <f t="shared" si="228"/>
        <v>4300006337</v>
      </c>
      <c r="H1037" s="2" t="str">
        <f>"028"</f>
        <v>028</v>
      </c>
      <c r="I1037" s="2" t="str">
        <f t="shared" si="229"/>
        <v>4310307</v>
      </c>
      <c r="J1037" s="2">
        <f>47353</f>
        <v>47353</v>
      </c>
      <c r="K1037" s="2" t="str">
        <f t="shared" si="234"/>
        <v>脚</v>
      </c>
      <c r="L1037" s="2" t="str">
        <f t="shared" si="230"/>
        <v>4310307</v>
      </c>
      <c r="M1037" s="2" t="str">
        <f t="shared" si="231"/>
        <v>4310307</v>
      </c>
    </row>
    <row r="1038" spans="1:13" x14ac:dyDescent="0.15">
      <c r="A1038" s="2" t="str">
        <f t="shared" si="218"/>
        <v>1881110500</v>
      </c>
      <c r="B1038" s="2" t="str">
        <f t="shared" si="219"/>
        <v>佐伯・区政調整</v>
      </c>
      <c r="C1038" s="2" t="str">
        <f t="shared" si="232"/>
        <v>01ﾂ00108</v>
      </c>
      <c r="D1038" s="2" t="str">
        <f t="shared" si="233"/>
        <v>長机</v>
      </c>
      <c r="E1038" s="3" t="str">
        <f t="shared" si="226"/>
        <v>㈱ホウトク　Ｈ１１６ＡＢ－Ｔ４</v>
      </c>
      <c r="F1038" s="2" t="str">
        <f t="shared" si="227"/>
        <v>０００１</v>
      </c>
      <c r="G1038" s="2" t="str">
        <f t="shared" si="228"/>
        <v>4300006337</v>
      </c>
      <c r="H1038" s="2" t="str">
        <f>"029"</f>
        <v>029</v>
      </c>
      <c r="I1038" s="2" t="str">
        <f t="shared" si="229"/>
        <v>4310307</v>
      </c>
      <c r="J1038" s="2">
        <f>47353</f>
        <v>47353</v>
      </c>
      <c r="K1038" s="2" t="str">
        <f t="shared" si="234"/>
        <v>脚</v>
      </c>
      <c r="L1038" s="2" t="str">
        <f t="shared" si="230"/>
        <v>4310307</v>
      </c>
      <c r="M1038" s="2" t="str">
        <f t="shared" si="231"/>
        <v>4310307</v>
      </c>
    </row>
    <row r="1039" spans="1:13" x14ac:dyDescent="0.15">
      <c r="A1039" s="2" t="str">
        <f t="shared" si="218"/>
        <v>1881110500</v>
      </c>
      <c r="B1039" s="2" t="str">
        <f t="shared" si="219"/>
        <v>佐伯・区政調整</v>
      </c>
      <c r="C1039" s="2" t="str">
        <f t="shared" si="232"/>
        <v>01ﾂ00108</v>
      </c>
      <c r="D1039" s="2" t="str">
        <f t="shared" si="233"/>
        <v>長机</v>
      </c>
      <c r="E1039" s="3" t="str">
        <f t="shared" si="226"/>
        <v>㈱ホウトク　Ｈ１１６ＡＢ－Ｔ４</v>
      </c>
      <c r="F1039" s="2" t="str">
        <f t="shared" si="227"/>
        <v>０００１</v>
      </c>
      <c r="G1039" s="2" t="str">
        <f t="shared" si="228"/>
        <v>4300006337</v>
      </c>
      <c r="H1039" s="2" t="str">
        <f>"030"</f>
        <v>030</v>
      </c>
      <c r="I1039" s="2" t="str">
        <f t="shared" si="229"/>
        <v>4310307</v>
      </c>
      <c r="J1039" s="2">
        <f>47353</f>
        <v>47353</v>
      </c>
      <c r="K1039" s="2" t="str">
        <f t="shared" si="234"/>
        <v>脚</v>
      </c>
      <c r="L1039" s="2" t="str">
        <f t="shared" si="230"/>
        <v>4310307</v>
      </c>
      <c r="M1039" s="2" t="str">
        <f t="shared" si="231"/>
        <v>4310307</v>
      </c>
    </row>
    <row r="1040" spans="1:13" x14ac:dyDescent="0.15">
      <c r="A1040" s="2" t="str">
        <f t="shared" si="218"/>
        <v>1881110500</v>
      </c>
      <c r="B1040" s="2" t="str">
        <f t="shared" si="219"/>
        <v>佐伯・区政調整</v>
      </c>
      <c r="C1040" s="2" t="str">
        <f t="shared" si="232"/>
        <v>01ﾂ00108</v>
      </c>
      <c r="D1040" s="2" t="str">
        <f t="shared" si="233"/>
        <v>長机</v>
      </c>
      <c r="E1040" s="3" t="str">
        <f t="shared" si="226"/>
        <v>㈱ホウトク　Ｈ１１６ＡＢ－Ｔ４</v>
      </c>
      <c r="F1040" s="2" t="str">
        <f t="shared" si="227"/>
        <v>０００１</v>
      </c>
      <c r="G1040" s="2" t="str">
        <f t="shared" si="228"/>
        <v>4300006337</v>
      </c>
      <c r="H1040" s="2" t="str">
        <f>"031"</f>
        <v>031</v>
      </c>
      <c r="I1040" s="2" t="str">
        <f t="shared" si="229"/>
        <v>4310307</v>
      </c>
      <c r="J1040" s="2">
        <f>47353</f>
        <v>47353</v>
      </c>
      <c r="K1040" s="2" t="str">
        <f t="shared" si="234"/>
        <v>脚</v>
      </c>
      <c r="L1040" s="2" t="str">
        <f t="shared" si="230"/>
        <v>4310307</v>
      </c>
      <c r="M1040" s="2" t="str">
        <f t="shared" si="231"/>
        <v>4310307</v>
      </c>
    </row>
    <row r="1041" spans="1:13" x14ac:dyDescent="0.15">
      <c r="A1041" s="2" t="str">
        <f t="shared" si="218"/>
        <v>1881110500</v>
      </c>
      <c r="B1041" s="2" t="str">
        <f t="shared" si="219"/>
        <v>佐伯・区政調整</v>
      </c>
      <c r="C1041" s="2" t="str">
        <f t="shared" si="232"/>
        <v>01ﾂ00108</v>
      </c>
      <c r="D1041" s="2" t="str">
        <f t="shared" si="233"/>
        <v>長机</v>
      </c>
      <c r="E1041" s="3" t="str">
        <f t="shared" si="226"/>
        <v>㈱ホウトク　Ｈ１１６ＡＢ－Ｔ４</v>
      </c>
      <c r="F1041" s="2" t="str">
        <f t="shared" si="227"/>
        <v>０００１</v>
      </c>
      <c r="G1041" s="2" t="str">
        <f t="shared" si="228"/>
        <v>4300006337</v>
      </c>
      <c r="H1041" s="2" t="str">
        <f>"032"</f>
        <v>032</v>
      </c>
      <c r="I1041" s="2" t="str">
        <f t="shared" si="229"/>
        <v>4310307</v>
      </c>
      <c r="J1041" s="2">
        <f>47353</f>
        <v>47353</v>
      </c>
      <c r="K1041" s="2" t="str">
        <f t="shared" si="234"/>
        <v>脚</v>
      </c>
      <c r="L1041" s="2" t="str">
        <f t="shared" si="230"/>
        <v>4310307</v>
      </c>
      <c r="M1041" s="2" t="str">
        <f t="shared" si="231"/>
        <v>4310307</v>
      </c>
    </row>
    <row r="1042" spans="1:13" x14ac:dyDescent="0.15">
      <c r="A1042" s="2" t="str">
        <f t="shared" si="218"/>
        <v>1881110500</v>
      </c>
      <c r="B1042" s="2" t="str">
        <f t="shared" si="219"/>
        <v>佐伯・区政調整</v>
      </c>
      <c r="C1042" s="2" t="str">
        <f t="shared" si="232"/>
        <v>01ﾂ00108</v>
      </c>
      <c r="D1042" s="2" t="str">
        <f t="shared" si="233"/>
        <v>長机</v>
      </c>
      <c r="E1042" s="3" t="str">
        <f t="shared" ref="E1042:E1061" si="235">"㈱ホウトク　Ｈ１１６ＡＢ－Ｔ４"</f>
        <v>㈱ホウトク　Ｈ１１６ＡＢ－Ｔ４</v>
      </c>
      <c r="F1042" s="2" t="str">
        <f t="shared" ref="F1042:F1061" si="236">"０００１"</f>
        <v>０００１</v>
      </c>
      <c r="G1042" s="2" t="str">
        <f t="shared" ref="G1042:G1061" si="237">"4300006337"</f>
        <v>4300006337</v>
      </c>
      <c r="H1042" s="2" t="str">
        <f>"033"</f>
        <v>033</v>
      </c>
      <c r="I1042" s="2" t="str">
        <f t="shared" ref="I1042:I1061" si="238">"4310307"</f>
        <v>4310307</v>
      </c>
      <c r="J1042" s="2">
        <f>47353</f>
        <v>47353</v>
      </c>
      <c r="K1042" s="2" t="str">
        <f t="shared" si="234"/>
        <v>脚</v>
      </c>
      <c r="L1042" s="2" t="str">
        <f t="shared" ref="L1042:L1061" si="239">"4310307"</f>
        <v>4310307</v>
      </c>
      <c r="M1042" s="2" t="str">
        <f t="shared" ref="M1042:M1061" si="240">"4310307"</f>
        <v>4310307</v>
      </c>
    </row>
    <row r="1043" spans="1:13" x14ac:dyDescent="0.15">
      <c r="A1043" s="2" t="str">
        <f t="shared" si="218"/>
        <v>1881110500</v>
      </c>
      <c r="B1043" s="2" t="str">
        <f t="shared" si="219"/>
        <v>佐伯・区政調整</v>
      </c>
      <c r="C1043" s="2" t="str">
        <f t="shared" si="232"/>
        <v>01ﾂ00108</v>
      </c>
      <c r="D1043" s="2" t="str">
        <f t="shared" si="233"/>
        <v>長机</v>
      </c>
      <c r="E1043" s="3" t="str">
        <f t="shared" si="235"/>
        <v>㈱ホウトク　Ｈ１１６ＡＢ－Ｔ４</v>
      </c>
      <c r="F1043" s="2" t="str">
        <f t="shared" si="236"/>
        <v>０００１</v>
      </c>
      <c r="G1043" s="2" t="str">
        <f t="shared" si="237"/>
        <v>4300006337</v>
      </c>
      <c r="H1043" s="2" t="str">
        <f>"034"</f>
        <v>034</v>
      </c>
      <c r="I1043" s="2" t="str">
        <f t="shared" si="238"/>
        <v>4310307</v>
      </c>
      <c r="J1043" s="2">
        <f>47353</f>
        <v>47353</v>
      </c>
      <c r="K1043" s="2" t="str">
        <f t="shared" si="234"/>
        <v>脚</v>
      </c>
      <c r="L1043" s="2" t="str">
        <f t="shared" si="239"/>
        <v>4310307</v>
      </c>
      <c r="M1043" s="2" t="str">
        <f t="shared" si="240"/>
        <v>4310307</v>
      </c>
    </row>
    <row r="1044" spans="1:13" x14ac:dyDescent="0.15">
      <c r="A1044" s="2" t="str">
        <f t="shared" si="218"/>
        <v>1881110500</v>
      </c>
      <c r="B1044" s="2" t="str">
        <f t="shared" si="219"/>
        <v>佐伯・区政調整</v>
      </c>
      <c r="C1044" s="2" t="str">
        <f t="shared" si="232"/>
        <v>01ﾂ00108</v>
      </c>
      <c r="D1044" s="2" t="str">
        <f t="shared" si="233"/>
        <v>長机</v>
      </c>
      <c r="E1044" s="3" t="str">
        <f t="shared" si="235"/>
        <v>㈱ホウトク　Ｈ１１６ＡＢ－Ｔ４</v>
      </c>
      <c r="F1044" s="2" t="str">
        <f t="shared" si="236"/>
        <v>０００１</v>
      </c>
      <c r="G1044" s="2" t="str">
        <f t="shared" si="237"/>
        <v>4300006337</v>
      </c>
      <c r="H1044" s="2" t="str">
        <f>"035"</f>
        <v>035</v>
      </c>
      <c r="I1044" s="2" t="str">
        <f t="shared" si="238"/>
        <v>4310307</v>
      </c>
      <c r="J1044" s="2">
        <f>47353</f>
        <v>47353</v>
      </c>
      <c r="K1044" s="2" t="str">
        <f t="shared" si="234"/>
        <v>脚</v>
      </c>
      <c r="L1044" s="2" t="str">
        <f t="shared" si="239"/>
        <v>4310307</v>
      </c>
      <c r="M1044" s="2" t="str">
        <f t="shared" si="240"/>
        <v>4310307</v>
      </c>
    </row>
    <row r="1045" spans="1:13" x14ac:dyDescent="0.15">
      <c r="A1045" s="2" t="str">
        <f t="shared" si="218"/>
        <v>1881110500</v>
      </c>
      <c r="B1045" s="2" t="str">
        <f t="shared" si="219"/>
        <v>佐伯・区政調整</v>
      </c>
      <c r="C1045" s="2" t="str">
        <f t="shared" si="232"/>
        <v>01ﾂ00108</v>
      </c>
      <c r="D1045" s="2" t="str">
        <f t="shared" si="233"/>
        <v>長机</v>
      </c>
      <c r="E1045" s="3" t="str">
        <f t="shared" si="235"/>
        <v>㈱ホウトク　Ｈ１１６ＡＢ－Ｔ４</v>
      </c>
      <c r="F1045" s="2" t="str">
        <f t="shared" si="236"/>
        <v>０００１</v>
      </c>
      <c r="G1045" s="2" t="str">
        <f t="shared" si="237"/>
        <v>4300006337</v>
      </c>
      <c r="H1045" s="2" t="str">
        <f>"036"</f>
        <v>036</v>
      </c>
      <c r="I1045" s="2" t="str">
        <f t="shared" si="238"/>
        <v>4310307</v>
      </c>
      <c r="J1045" s="2">
        <f>47353</f>
        <v>47353</v>
      </c>
      <c r="K1045" s="2" t="str">
        <f t="shared" si="234"/>
        <v>脚</v>
      </c>
      <c r="L1045" s="2" t="str">
        <f t="shared" si="239"/>
        <v>4310307</v>
      </c>
      <c r="M1045" s="2" t="str">
        <f t="shared" si="240"/>
        <v>4310307</v>
      </c>
    </row>
    <row r="1046" spans="1:13" x14ac:dyDescent="0.15">
      <c r="A1046" s="2" t="str">
        <f t="shared" si="218"/>
        <v>1881110500</v>
      </c>
      <c r="B1046" s="2" t="str">
        <f t="shared" si="219"/>
        <v>佐伯・区政調整</v>
      </c>
      <c r="C1046" s="2" t="str">
        <f t="shared" si="232"/>
        <v>01ﾂ00108</v>
      </c>
      <c r="D1046" s="2" t="str">
        <f t="shared" si="233"/>
        <v>長机</v>
      </c>
      <c r="E1046" s="3" t="str">
        <f t="shared" si="235"/>
        <v>㈱ホウトク　Ｈ１１６ＡＢ－Ｔ４</v>
      </c>
      <c r="F1046" s="2" t="str">
        <f t="shared" si="236"/>
        <v>０００１</v>
      </c>
      <c r="G1046" s="2" t="str">
        <f t="shared" si="237"/>
        <v>4300006337</v>
      </c>
      <c r="H1046" s="2" t="str">
        <f>"037"</f>
        <v>037</v>
      </c>
      <c r="I1046" s="2" t="str">
        <f t="shared" si="238"/>
        <v>4310307</v>
      </c>
      <c r="J1046" s="2">
        <f>47353</f>
        <v>47353</v>
      </c>
      <c r="K1046" s="2" t="str">
        <f t="shared" si="234"/>
        <v>脚</v>
      </c>
      <c r="L1046" s="2" t="str">
        <f t="shared" si="239"/>
        <v>4310307</v>
      </c>
      <c r="M1046" s="2" t="str">
        <f t="shared" si="240"/>
        <v>4310307</v>
      </c>
    </row>
    <row r="1047" spans="1:13" x14ac:dyDescent="0.15">
      <c r="A1047" s="2" t="str">
        <f t="shared" si="218"/>
        <v>1881110500</v>
      </c>
      <c r="B1047" s="2" t="str">
        <f t="shared" si="219"/>
        <v>佐伯・区政調整</v>
      </c>
      <c r="C1047" s="2" t="str">
        <f t="shared" si="232"/>
        <v>01ﾂ00108</v>
      </c>
      <c r="D1047" s="2" t="str">
        <f t="shared" si="233"/>
        <v>長机</v>
      </c>
      <c r="E1047" s="3" t="str">
        <f t="shared" si="235"/>
        <v>㈱ホウトク　Ｈ１１６ＡＢ－Ｔ４</v>
      </c>
      <c r="F1047" s="2" t="str">
        <f t="shared" si="236"/>
        <v>０００１</v>
      </c>
      <c r="G1047" s="2" t="str">
        <f t="shared" si="237"/>
        <v>4300006337</v>
      </c>
      <c r="H1047" s="2" t="str">
        <f>"038"</f>
        <v>038</v>
      </c>
      <c r="I1047" s="2" t="str">
        <f t="shared" si="238"/>
        <v>4310307</v>
      </c>
      <c r="J1047" s="2">
        <f>47353</f>
        <v>47353</v>
      </c>
      <c r="K1047" s="2" t="str">
        <f t="shared" si="234"/>
        <v>脚</v>
      </c>
      <c r="L1047" s="2" t="str">
        <f t="shared" si="239"/>
        <v>4310307</v>
      </c>
      <c r="M1047" s="2" t="str">
        <f t="shared" si="240"/>
        <v>4310307</v>
      </c>
    </row>
    <row r="1048" spans="1:13" x14ac:dyDescent="0.15">
      <c r="A1048" s="2" t="str">
        <f t="shared" si="218"/>
        <v>1881110500</v>
      </c>
      <c r="B1048" s="2" t="str">
        <f t="shared" si="219"/>
        <v>佐伯・区政調整</v>
      </c>
      <c r="C1048" s="2" t="str">
        <f t="shared" ref="C1048:C1061" si="241">"01ﾂ00108"</f>
        <v>01ﾂ00108</v>
      </c>
      <c r="D1048" s="2" t="str">
        <f t="shared" ref="D1048:D1061" si="242">"長机"</f>
        <v>長机</v>
      </c>
      <c r="E1048" s="3" t="str">
        <f t="shared" si="235"/>
        <v>㈱ホウトク　Ｈ１１６ＡＢ－Ｔ４</v>
      </c>
      <c r="F1048" s="2" t="str">
        <f t="shared" si="236"/>
        <v>０００１</v>
      </c>
      <c r="G1048" s="2" t="str">
        <f t="shared" si="237"/>
        <v>4300006337</v>
      </c>
      <c r="H1048" s="2" t="str">
        <f>"039"</f>
        <v>039</v>
      </c>
      <c r="I1048" s="2" t="str">
        <f t="shared" si="238"/>
        <v>4310307</v>
      </c>
      <c r="J1048" s="2">
        <f>47353</f>
        <v>47353</v>
      </c>
      <c r="K1048" s="2" t="str">
        <f t="shared" si="234"/>
        <v>脚</v>
      </c>
      <c r="L1048" s="2" t="str">
        <f t="shared" si="239"/>
        <v>4310307</v>
      </c>
      <c r="M1048" s="2" t="str">
        <f t="shared" si="240"/>
        <v>4310307</v>
      </c>
    </row>
    <row r="1049" spans="1:13" x14ac:dyDescent="0.15">
      <c r="A1049" s="2" t="str">
        <f t="shared" ref="A1049:A1078" si="243">"1881110500"</f>
        <v>1881110500</v>
      </c>
      <c r="B1049" s="2" t="str">
        <f t="shared" ref="B1049:B1078" si="244">"佐伯・区政調整"</f>
        <v>佐伯・区政調整</v>
      </c>
      <c r="C1049" s="2" t="str">
        <f t="shared" si="241"/>
        <v>01ﾂ00108</v>
      </c>
      <c r="D1049" s="2" t="str">
        <f t="shared" si="242"/>
        <v>長机</v>
      </c>
      <c r="E1049" s="3" t="str">
        <f t="shared" si="235"/>
        <v>㈱ホウトク　Ｈ１１６ＡＢ－Ｔ４</v>
      </c>
      <c r="F1049" s="2" t="str">
        <f t="shared" si="236"/>
        <v>０００１</v>
      </c>
      <c r="G1049" s="2" t="str">
        <f t="shared" si="237"/>
        <v>4300006337</v>
      </c>
      <c r="H1049" s="2" t="str">
        <f>"040"</f>
        <v>040</v>
      </c>
      <c r="I1049" s="2" t="str">
        <f t="shared" si="238"/>
        <v>4310307</v>
      </c>
      <c r="J1049" s="2">
        <f>47353</f>
        <v>47353</v>
      </c>
      <c r="K1049" s="2" t="str">
        <f t="shared" si="234"/>
        <v>脚</v>
      </c>
      <c r="L1049" s="2" t="str">
        <f t="shared" si="239"/>
        <v>4310307</v>
      </c>
      <c r="M1049" s="2" t="str">
        <f t="shared" si="240"/>
        <v>4310307</v>
      </c>
    </row>
    <row r="1050" spans="1:13" x14ac:dyDescent="0.15">
      <c r="A1050" s="2" t="str">
        <f t="shared" si="243"/>
        <v>1881110500</v>
      </c>
      <c r="B1050" s="2" t="str">
        <f t="shared" si="244"/>
        <v>佐伯・区政調整</v>
      </c>
      <c r="C1050" s="2" t="str">
        <f t="shared" si="241"/>
        <v>01ﾂ00108</v>
      </c>
      <c r="D1050" s="2" t="str">
        <f t="shared" si="242"/>
        <v>長机</v>
      </c>
      <c r="E1050" s="3" t="str">
        <f t="shared" si="235"/>
        <v>㈱ホウトク　Ｈ１１６ＡＢ－Ｔ４</v>
      </c>
      <c r="F1050" s="2" t="str">
        <f t="shared" si="236"/>
        <v>０００１</v>
      </c>
      <c r="G1050" s="2" t="str">
        <f t="shared" si="237"/>
        <v>4300006337</v>
      </c>
      <c r="H1050" s="2" t="str">
        <f>"041"</f>
        <v>041</v>
      </c>
      <c r="I1050" s="2" t="str">
        <f t="shared" si="238"/>
        <v>4310307</v>
      </c>
      <c r="J1050" s="2">
        <f>47353</f>
        <v>47353</v>
      </c>
      <c r="K1050" s="2" t="str">
        <f t="shared" si="234"/>
        <v>脚</v>
      </c>
      <c r="L1050" s="2" t="str">
        <f t="shared" si="239"/>
        <v>4310307</v>
      </c>
      <c r="M1050" s="2" t="str">
        <f t="shared" si="240"/>
        <v>4310307</v>
      </c>
    </row>
    <row r="1051" spans="1:13" x14ac:dyDescent="0.15">
      <c r="A1051" s="2" t="str">
        <f t="shared" si="243"/>
        <v>1881110500</v>
      </c>
      <c r="B1051" s="2" t="str">
        <f t="shared" si="244"/>
        <v>佐伯・区政調整</v>
      </c>
      <c r="C1051" s="2" t="str">
        <f t="shared" si="241"/>
        <v>01ﾂ00108</v>
      </c>
      <c r="D1051" s="2" t="str">
        <f t="shared" si="242"/>
        <v>長机</v>
      </c>
      <c r="E1051" s="3" t="str">
        <f t="shared" si="235"/>
        <v>㈱ホウトク　Ｈ１１６ＡＢ－Ｔ４</v>
      </c>
      <c r="F1051" s="2" t="str">
        <f t="shared" si="236"/>
        <v>０００１</v>
      </c>
      <c r="G1051" s="2" t="str">
        <f t="shared" si="237"/>
        <v>4300006337</v>
      </c>
      <c r="H1051" s="2" t="str">
        <f>"042"</f>
        <v>042</v>
      </c>
      <c r="I1051" s="2" t="str">
        <f t="shared" si="238"/>
        <v>4310307</v>
      </c>
      <c r="J1051" s="2">
        <f>47353</f>
        <v>47353</v>
      </c>
      <c r="K1051" s="2" t="str">
        <f t="shared" si="234"/>
        <v>脚</v>
      </c>
      <c r="L1051" s="2" t="str">
        <f t="shared" si="239"/>
        <v>4310307</v>
      </c>
      <c r="M1051" s="2" t="str">
        <f t="shared" si="240"/>
        <v>4310307</v>
      </c>
    </row>
    <row r="1052" spans="1:13" x14ac:dyDescent="0.15">
      <c r="A1052" s="2" t="str">
        <f t="shared" si="243"/>
        <v>1881110500</v>
      </c>
      <c r="B1052" s="2" t="str">
        <f t="shared" si="244"/>
        <v>佐伯・区政調整</v>
      </c>
      <c r="C1052" s="2" t="str">
        <f t="shared" si="241"/>
        <v>01ﾂ00108</v>
      </c>
      <c r="D1052" s="2" t="str">
        <f t="shared" si="242"/>
        <v>長机</v>
      </c>
      <c r="E1052" s="3" t="str">
        <f t="shared" si="235"/>
        <v>㈱ホウトク　Ｈ１１６ＡＢ－Ｔ４</v>
      </c>
      <c r="F1052" s="2" t="str">
        <f t="shared" si="236"/>
        <v>０００１</v>
      </c>
      <c r="G1052" s="2" t="str">
        <f t="shared" si="237"/>
        <v>4300006337</v>
      </c>
      <c r="H1052" s="2" t="str">
        <f>"043"</f>
        <v>043</v>
      </c>
      <c r="I1052" s="2" t="str">
        <f t="shared" si="238"/>
        <v>4310307</v>
      </c>
      <c r="J1052" s="2">
        <f>47353</f>
        <v>47353</v>
      </c>
      <c r="K1052" s="2" t="str">
        <f t="shared" si="234"/>
        <v>脚</v>
      </c>
      <c r="L1052" s="2" t="str">
        <f t="shared" si="239"/>
        <v>4310307</v>
      </c>
      <c r="M1052" s="2" t="str">
        <f t="shared" si="240"/>
        <v>4310307</v>
      </c>
    </row>
    <row r="1053" spans="1:13" x14ac:dyDescent="0.15">
      <c r="A1053" s="2" t="str">
        <f t="shared" si="243"/>
        <v>1881110500</v>
      </c>
      <c r="B1053" s="2" t="str">
        <f t="shared" si="244"/>
        <v>佐伯・区政調整</v>
      </c>
      <c r="C1053" s="2" t="str">
        <f t="shared" si="241"/>
        <v>01ﾂ00108</v>
      </c>
      <c r="D1053" s="2" t="str">
        <f t="shared" si="242"/>
        <v>長机</v>
      </c>
      <c r="E1053" s="3" t="str">
        <f t="shared" si="235"/>
        <v>㈱ホウトク　Ｈ１１６ＡＢ－Ｔ４</v>
      </c>
      <c r="F1053" s="2" t="str">
        <f t="shared" si="236"/>
        <v>０００１</v>
      </c>
      <c r="G1053" s="2" t="str">
        <f t="shared" si="237"/>
        <v>4300006337</v>
      </c>
      <c r="H1053" s="2" t="str">
        <f>"044"</f>
        <v>044</v>
      </c>
      <c r="I1053" s="2" t="str">
        <f t="shared" si="238"/>
        <v>4310307</v>
      </c>
      <c r="J1053" s="2">
        <f>47353</f>
        <v>47353</v>
      </c>
      <c r="K1053" s="2" t="str">
        <f t="shared" si="234"/>
        <v>脚</v>
      </c>
      <c r="L1053" s="2" t="str">
        <f t="shared" si="239"/>
        <v>4310307</v>
      </c>
      <c r="M1053" s="2" t="str">
        <f t="shared" si="240"/>
        <v>4310307</v>
      </c>
    </row>
    <row r="1054" spans="1:13" x14ac:dyDescent="0.15">
      <c r="A1054" s="2" t="str">
        <f t="shared" si="243"/>
        <v>1881110500</v>
      </c>
      <c r="B1054" s="2" t="str">
        <f t="shared" si="244"/>
        <v>佐伯・区政調整</v>
      </c>
      <c r="C1054" s="2" t="str">
        <f t="shared" si="241"/>
        <v>01ﾂ00108</v>
      </c>
      <c r="D1054" s="2" t="str">
        <f t="shared" si="242"/>
        <v>長机</v>
      </c>
      <c r="E1054" s="3" t="str">
        <f t="shared" si="235"/>
        <v>㈱ホウトク　Ｈ１１６ＡＢ－Ｔ４</v>
      </c>
      <c r="F1054" s="2" t="str">
        <f t="shared" si="236"/>
        <v>０００１</v>
      </c>
      <c r="G1054" s="2" t="str">
        <f t="shared" si="237"/>
        <v>4300006337</v>
      </c>
      <c r="H1054" s="2" t="str">
        <f>"045"</f>
        <v>045</v>
      </c>
      <c r="I1054" s="2" t="str">
        <f t="shared" si="238"/>
        <v>4310307</v>
      </c>
      <c r="J1054" s="2">
        <f>47353</f>
        <v>47353</v>
      </c>
      <c r="K1054" s="2" t="str">
        <f t="shared" si="234"/>
        <v>脚</v>
      </c>
      <c r="L1054" s="2" t="str">
        <f t="shared" si="239"/>
        <v>4310307</v>
      </c>
      <c r="M1054" s="2" t="str">
        <f t="shared" si="240"/>
        <v>4310307</v>
      </c>
    </row>
    <row r="1055" spans="1:13" x14ac:dyDescent="0.15">
      <c r="A1055" s="2" t="str">
        <f t="shared" si="243"/>
        <v>1881110500</v>
      </c>
      <c r="B1055" s="2" t="str">
        <f t="shared" si="244"/>
        <v>佐伯・区政調整</v>
      </c>
      <c r="C1055" s="2" t="str">
        <f t="shared" si="241"/>
        <v>01ﾂ00108</v>
      </c>
      <c r="D1055" s="2" t="str">
        <f t="shared" si="242"/>
        <v>長机</v>
      </c>
      <c r="E1055" s="3" t="str">
        <f t="shared" si="235"/>
        <v>㈱ホウトク　Ｈ１１６ＡＢ－Ｔ４</v>
      </c>
      <c r="F1055" s="2" t="str">
        <f t="shared" si="236"/>
        <v>０００１</v>
      </c>
      <c r="G1055" s="2" t="str">
        <f t="shared" si="237"/>
        <v>4300006337</v>
      </c>
      <c r="H1055" s="2" t="str">
        <f>"046"</f>
        <v>046</v>
      </c>
      <c r="I1055" s="2" t="str">
        <f t="shared" si="238"/>
        <v>4310307</v>
      </c>
      <c r="J1055" s="2">
        <f>47353</f>
        <v>47353</v>
      </c>
      <c r="K1055" s="2" t="str">
        <f t="shared" si="234"/>
        <v>脚</v>
      </c>
      <c r="L1055" s="2" t="str">
        <f t="shared" si="239"/>
        <v>4310307</v>
      </c>
      <c r="M1055" s="2" t="str">
        <f t="shared" si="240"/>
        <v>4310307</v>
      </c>
    </row>
    <row r="1056" spans="1:13" x14ac:dyDescent="0.15">
      <c r="A1056" s="2" t="str">
        <f t="shared" si="243"/>
        <v>1881110500</v>
      </c>
      <c r="B1056" s="2" t="str">
        <f t="shared" si="244"/>
        <v>佐伯・区政調整</v>
      </c>
      <c r="C1056" s="2" t="str">
        <f t="shared" si="241"/>
        <v>01ﾂ00108</v>
      </c>
      <c r="D1056" s="2" t="str">
        <f t="shared" si="242"/>
        <v>長机</v>
      </c>
      <c r="E1056" s="3" t="str">
        <f t="shared" si="235"/>
        <v>㈱ホウトク　Ｈ１１６ＡＢ－Ｔ４</v>
      </c>
      <c r="F1056" s="2" t="str">
        <f t="shared" si="236"/>
        <v>０００１</v>
      </c>
      <c r="G1056" s="2" t="str">
        <f t="shared" si="237"/>
        <v>4300006337</v>
      </c>
      <c r="H1056" s="2" t="str">
        <f>"047"</f>
        <v>047</v>
      </c>
      <c r="I1056" s="2" t="str">
        <f t="shared" si="238"/>
        <v>4310307</v>
      </c>
      <c r="J1056" s="2">
        <f>47353</f>
        <v>47353</v>
      </c>
      <c r="K1056" s="2" t="str">
        <f t="shared" si="234"/>
        <v>脚</v>
      </c>
      <c r="L1056" s="2" t="str">
        <f t="shared" si="239"/>
        <v>4310307</v>
      </c>
      <c r="M1056" s="2" t="str">
        <f t="shared" si="240"/>
        <v>4310307</v>
      </c>
    </row>
    <row r="1057" spans="1:13" x14ac:dyDescent="0.15">
      <c r="A1057" s="2" t="str">
        <f t="shared" si="243"/>
        <v>1881110500</v>
      </c>
      <c r="B1057" s="2" t="str">
        <f t="shared" si="244"/>
        <v>佐伯・区政調整</v>
      </c>
      <c r="C1057" s="2" t="str">
        <f t="shared" si="241"/>
        <v>01ﾂ00108</v>
      </c>
      <c r="D1057" s="2" t="str">
        <f t="shared" si="242"/>
        <v>長机</v>
      </c>
      <c r="E1057" s="3" t="str">
        <f t="shared" si="235"/>
        <v>㈱ホウトク　Ｈ１１６ＡＢ－Ｔ４</v>
      </c>
      <c r="F1057" s="2" t="str">
        <f t="shared" si="236"/>
        <v>０００１</v>
      </c>
      <c r="G1057" s="2" t="str">
        <f t="shared" si="237"/>
        <v>4300006337</v>
      </c>
      <c r="H1057" s="2" t="str">
        <f>"048"</f>
        <v>048</v>
      </c>
      <c r="I1057" s="2" t="str">
        <f t="shared" si="238"/>
        <v>4310307</v>
      </c>
      <c r="J1057" s="2">
        <f>47353</f>
        <v>47353</v>
      </c>
      <c r="K1057" s="2" t="str">
        <f t="shared" si="234"/>
        <v>脚</v>
      </c>
      <c r="L1057" s="2" t="str">
        <f t="shared" si="239"/>
        <v>4310307</v>
      </c>
      <c r="M1057" s="2" t="str">
        <f t="shared" si="240"/>
        <v>4310307</v>
      </c>
    </row>
    <row r="1058" spans="1:13" x14ac:dyDescent="0.15">
      <c r="A1058" s="2" t="str">
        <f t="shared" si="243"/>
        <v>1881110500</v>
      </c>
      <c r="B1058" s="2" t="str">
        <f t="shared" si="244"/>
        <v>佐伯・区政調整</v>
      </c>
      <c r="C1058" s="2" t="str">
        <f t="shared" si="241"/>
        <v>01ﾂ00108</v>
      </c>
      <c r="D1058" s="2" t="str">
        <f t="shared" si="242"/>
        <v>長机</v>
      </c>
      <c r="E1058" s="3" t="str">
        <f t="shared" si="235"/>
        <v>㈱ホウトク　Ｈ１１６ＡＢ－Ｔ４</v>
      </c>
      <c r="F1058" s="2" t="str">
        <f t="shared" si="236"/>
        <v>０００１</v>
      </c>
      <c r="G1058" s="2" t="str">
        <f t="shared" si="237"/>
        <v>4300006337</v>
      </c>
      <c r="H1058" s="2" t="str">
        <f>"049"</f>
        <v>049</v>
      </c>
      <c r="I1058" s="2" t="str">
        <f t="shared" si="238"/>
        <v>4310307</v>
      </c>
      <c r="J1058" s="2">
        <f>47353</f>
        <v>47353</v>
      </c>
      <c r="K1058" s="2" t="str">
        <f t="shared" si="234"/>
        <v>脚</v>
      </c>
      <c r="L1058" s="2" t="str">
        <f t="shared" si="239"/>
        <v>4310307</v>
      </c>
      <c r="M1058" s="2" t="str">
        <f t="shared" si="240"/>
        <v>4310307</v>
      </c>
    </row>
    <row r="1059" spans="1:13" x14ac:dyDescent="0.15">
      <c r="A1059" s="2" t="str">
        <f t="shared" si="243"/>
        <v>1881110500</v>
      </c>
      <c r="B1059" s="2" t="str">
        <f t="shared" si="244"/>
        <v>佐伯・区政調整</v>
      </c>
      <c r="C1059" s="2" t="str">
        <f t="shared" si="241"/>
        <v>01ﾂ00108</v>
      </c>
      <c r="D1059" s="2" t="str">
        <f t="shared" si="242"/>
        <v>長机</v>
      </c>
      <c r="E1059" s="3" t="str">
        <f t="shared" si="235"/>
        <v>㈱ホウトク　Ｈ１１６ＡＢ－Ｔ４</v>
      </c>
      <c r="F1059" s="2" t="str">
        <f t="shared" si="236"/>
        <v>０００１</v>
      </c>
      <c r="G1059" s="2" t="str">
        <f t="shared" si="237"/>
        <v>4300006337</v>
      </c>
      <c r="H1059" s="2" t="str">
        <f>"050"</f>
        <v>050</v>
      </c>
      <c r="I1059" s="2" t="str">
        <f t="shared" si="238"/>
        <v>4310307</v>
      </c>
      <c r="J1059" s="2">
        <f>47353</f>
        <v>47353</v>
      </c>
      <c r="K1059" s="2" t="str">
        <f t="shared" si="234"/>
        <v>脚</v>
      </c>
      <c r="L1059" s="2" t="str">
        <f t="shared" si="239"/>
        <v>4310307</v>
      </c>
      <c r="M1059" s="2" t="str">
        <f t="shared" si="240"/>
        <v>4310307</v>
      </c>
    </row>
    <row r="1060" spans="1:13" x14ac:dyDescent="0.15">
      <c r="A1060" s="2" t="str">
        <f t="shared" si="243"/>
        <v>1881110500</v>
      </c>
      <c r="B1060" s="2" t="str">
        <f t="shared" si="244"/>
        <v>佐伯・区政調整</v>
      </c>
      <c r="C1060" s="2" t="str">
        <f t="shared" si="241"/>
        <v>01ﾂ00108</v>
      </c>
      <c r="D1060" s="2" t="str">
        <f t="shared" si="242"/>
        <v>長机</v>
      </c>
      <c r="E1060" s="3" t="str">
        <f t="shared" si="235"/>
        <v>㈱ホウトク　Ｈ１１６ＡＢ－Ｔ４</v>
      </c>
      <c r="F1060" s="2" t="str">
        <f t="shared" si="236"/>
        <v>０００１</v>
      </c>
      <c r="G1060" s="2" t="str">
        <f t="shared" si="237"/>
        <v>4300006337</v>
      </c>
      <c r="H1060" s="2" t="str">
        <f>"051"</f>
        <v>051</v>
      </c>
      <c r="I1060" s="2" t="str">
        <f t="shared" si="238"/>
        <v>4310307</v>
      </c>
      <c r="J1060" s="2">
        <f>47353</f>
        <v>47353</v>
      </c>
      <c r="K1060" s="2" t="str">
        <f t="shared" si="234"/>
        <v>脚</v>
      </c>
      <c r="L1060" s="2" t="str">
        <f t="shared" si="239"/>
        <v>4310307</v>
      </c>
      <c r="M1060" s="2" t="str">
        <f t="shared" si="240"/>
        <v>4310307</v>
      </c>
    </row>
    <row r="1061" spans="1:13" x14ac:dyDescent="0.15">
      <c r="A1061" s="2" t="str">
        <f t="shared" si="243"/>
        <v>1881110500</v>
      </c>
      <c r="B1061" s="2" t="str">
        <f t="shared" si="244"/>
        <v>佐伯・区政調整</v>
      </c>
      <c r="C1061" s="2" t="str">
        <f t="shared" si="241"/>
        <v>01ﾂ00108</v>
      </c>
      <c r="D1061" s="2" t="str">
        <f t="shared" si="242"/>
        <v>長机</v>
      </c>
      <c r="E1061" s="3" t="str">
        <f t="shared" si="235"/>
        <v>㈱ホウトク　Ｈ１１６ＡＢ－Ｔ４</v>
      </c>
      <c r="F1061" s="2" t="str">
        <f t="shared" si="236"/>
        <v>０００１</v>
      </c>
      <c r="G1061" s="2" t="str">
        <f t="shared" si="237"/>
        <v>4300006337</v>
      </c>
      <c r="H1061" s="2" t="str">
        <f>"052"</f>
        <v>052</v>
      </c>
      <c r="I1061" s="2" t="str">
        <f t="shared" si="238"/>
        <v>4310307</v>
      </c>
      <c r="J1061" s="2">
        <f>47353</f>
        <v>47353</v>
      </c>
      <c r="K1061" s="2" t="str">
        <f t="shared" si="234"/>
        <v>脚</v>
      </c>
      <c r="L1061" s="2" t="str">
        <f t="shared" si="239"/>
        <v>4310307</v>
      </c>
      <c r="M1061" s="2" t="str">
        <f t="shared" si="240"/>
        <v>4310307</v>
      </c>
    </row>
    <row r="1062" spans="1:13" x14ac:dyDescent="0.15">
      <c r="A1062" s="2" t="str">
        <f t="shared" si="243"/>
        <v>1881110500</v>
      </c>
      <c r="B1062" s="2" t="str">
        <f t="shared" si="244"/>
        <v>佐伯・区政調整</v>
      </c>
      <c r="C1062" s="2" t="str">
        <f>"01ﾂ00201"</f>
        <v>01ﾂ00201</v>
      </c>
      <c r="D1062" s="2" t="str">
        <f>"衝立"</f>
        <v>衝立</v>
      </c>
      <c r="E1062" s="3" t="str">
        <f>"松羽目　Ｈ４５４５"</f>
        <v>松羽目　Ｈ４５４５</v>
      </c>
      <c r="F1062" s="2" t="str">
        <f t="shared" ref="F1062:F1076" si="245">"０００１"</f>
        <v>０００１</v>
      </c>
      <c r="G1062" s="2" t="str">
        <f>"3620004118"</f>
        <v>3620004118</v>
      </c>
      <c r="H1062" s="2" t="str">
        <f t="shared" ref="H1062:H1074" si="246">"001"</f>
        <v>001</v>
      </c>
      <c r="I1062" s="2" t="str">
        <f t="shared" ref="I1062:I1068" si="247">"4100401"</f>
        <v>4100401</v>
      </c>
      <c r="J1062" s="2">
        <f>280000</f>
        <v>280000</v>
      </c>
      <c r="K1062" s="2" t="str">
        <f t="shared" si="234"/>
        <v>脚</v>
      </c>
      <c r="L1062" s="2" t="str">
        <f t="shared" ref="L1062:L1073" si="248">"3630331"</f>
        <v>3630331</v>
      </c>
      <c r="M1062" s="2" t="str">
        <f>""</f>
        <v/>
      </c>
    </row>
    <row r="1063" spans="1:13" x14ac:dyDescent="0.15">
      <c r="A1063" s="2" t="str">
        <f t="shared" si="243"/>
        <v>1881110500</v>
      </c>
      <c r="B1063" s="2" t="str">
        <f t="shared" si="244"/>
        <v>佐伯・区政調整</v>
      </c>
      <c r="C1063" s="2" t="str">
        <f>"01ﾂ00201"</f>
        <v>01ﾂ00201</v>
      </c>
      <c r="D1063" s="2" t="str">
        <f>"衝立"</f>
        <v>衝立</v>
      </c>
      <c r="E1063" s="3" t="str">
        <f>"竹羽目　Ｈ４５４５"</f>
        <v>竹羽目　Ｈ４５４５</v>
      </c>
      <c r="F1063" s="2" t="str">
        <f t="shared" si="245"/>
        <v>０００１</v>
      </c>
      <c r="G1063" s="2" t="str">
        <f>"3620004119"</f>
        <v>3620004119</v>
      </c>
      <c r="H1063" s="2" t="str">
        <f t="shared" si="246"/>
        <v>001</v>
      </c>
      <c r="I1063" s="2" t="str">
        <f t="shared" si="247"/>
        <v>4100401</v>
      </c>
      <c r="J1063" s="2">
        <f>730000</f>
        <v>730000</v>
      </c>
      <c r="K1063" s="2" t="str">
        <f t="shared" si="234"/>
        <v>脚</v>
      </c>
      <c r="L1063" s="2" t="str">
        <f t="shared" si="248"/>
        <v>3630331</v>
      </c>
      <c r="M1063" s="2" t="str">
        <f>""</f>
        <v/>
      </c>
    </row>
    <row r="1064" spans="1:13" x14ac:dyDescent="0.15">
      <c r="A1064" s="2" t="str">
        <f t="shared" si="243"/>
        <v>1881110500</v>
      </c>
      <c r="B1064" s="2" t="str">
        <f t="shared" si="244"/>
        <v>佐伯・区政調整</v>
      </c>
      <c r="C1064" s="2" t="str">
        <f>"01ﾃ00801"</f>
        <v>01ﾃ00801</v>
      </c>
      <c r="D1064" s="2" t="str">
        <f>"展示板"</f>
        <v>展示板</v>
      </c>
      <c r="E1064" s="3" t="str">
        <f>"木製"</f>
        <v>木製</v>
      </c>
      <c r="F1064" s="2" t="str">
        <f t="shared" si="245"/>
        <v>０００１</v>
      </c>
      <c r="G1064" s="2" t="str">
        <f>"3620004120"</f>
        <v>3620004120</v>
      </c>
      <c r="H1064" s="2" t="str">
        <f t="shared" si="246"/>
        <v>001</v>
      </c>
      <c r="I1064" s="2" t="str">
        <f t="shared" si="247"/>
        <v>4100401</v>
      </c>
      <c r="J1064" s="2">
        <f>56000</f>
        <v>56000</v>
      </c>
      <c r="K1064" s="2" t="str">
        <f t="shared" ref="K1064:K1078" si="249">"枚"</f>
        <v>枚</v>
      </c>
      <c r="L1064" s="2" t="str">
        <f t="shared" si="248"/>
        <v>3630331</v>
      </c>
      <c r="M1064" s="2" t="str">
        <f>""</f>
        <v/>
      </c>
    </row>
    <row r="1065" spans="1:13" x14ac:dyDescent="0.15">
      <c r="A1065" s="2" t="str">
        <f t="shared" si="243"/>
        <v>1881110500</v>
      </c>
      <c r="B1065" s="2" t="str">
        <f t="shared" si="244"/>
        <v>佐伯・区政調整</v>
      </c>
      <c r="C1065" s="2" t="str">
        <f>"01ﾃ00801"</f>
        <v>01ﾃ00801</v>
      </c>
      <c r="D1065" s="2" t="str">
        <f>"展示板"</f>
        <v>展示板</v>
      </c>
      <c r="E1065" s="3" t="str">
        <f>"木製"</f>
        <v>木製</v>
      </c>
      <c r="F1065" s="2" t="str">
        <f t="shared" si="245"/>
        <v>０００１</v>
      </c>
      <c r="G1065" s="2" t="str">
        <f>"3620004121"</f>
        <v>3620004121</v>
      </c>
      <c r="H1065" s="2" t="str">
        <f t="shared" si="246"/>
        <v>001</v>
      </c>
      <c r="I1065" s="2" t="str">
        <f t="shared" si="247"/>
        <v>4100401</v>
      </c>
      <c r="J1065" s="2">
        <f>56000</f>
        <v>56000</v>
      </c>
      <c r="K1065" s="2" t="str">
        <f t="shared" si="249"/>
        <v>枚</v>
      </c>
      <c r="L1065" s="2" t="str">
        <f t="shared" si="248"/>
        <v>3630331</v>
      </c>
      <c r="M1065" s="2" t="str">
        <f>""</f>
        <v/>
      </c>
    </row>
    <row r="1066" spans="1:13" x14ac:dyDescent="0.15">
      <c r="A1066" s="2" t="str">
        <f t="shared" si="243"/>
        <v>1881110500</v>
      </c>
      <c r="B1066" s="2" t="str">
        <f t="shared" si="244"/>
        <v>佐伯・区政調整</v>
      </c>
      <c r="C1066" s="2" t="str">
        <f>"01ﾃ00801"</f>
        <v>01ﾃ00801</v>
      </c>
      <c r="D1066" s="2" t="str">
        <f>"展示板"</f>
        <v>展示板</v>
      </c>
      <c r="E1066" s="3" t="str">
        <f>"木製"</f>
        <v>木製</v>
      </c>
      <c r="F1066" s="2" t="str">
        <f t="shared" si="245"/>
        <v>０００１</v>
      </c>
      <c r="G1066" s="2" t="str">
        <f>"3620004122"</f>
        <v>3620004122</v>
      </c>
      <c r="H1066" s="2" t="str">
        <f t="shared" si="246"/>
        <v>001</v>
      </c>
      <c r="I1066" s="2" t="str">
        <f t="shared" si="247"/>
        <v>4100401</v>
      </c>
      <c r="J1066" s="2">
        <f>56000</f>
        <v>56000</v>
      </c>
      <c r="K1066" s="2" t="str">
        <f t="shared" si="249"/>
        <v>枚</v>
      </c>
      <c r="L1066" s="2" t="str">
        <f t="shared" si="248"/>
        <v>3630331</v>
      </c>
      <c r="M1066" s="2" t="str">
        <f>""</f>
        <v/>
      </c>
    </row>
    <row r="1067" spans="1:13" x14ac:dyDescent="0.15">
      <c r="A1067" s="2" t="str">
        <f t="shared" si="243"/>
        <v>1881110500</v>
      </c>
      <c r="B1067" s="2" t="str">
        <f t="shared" si="244"/>
        <v>佐伯・区政調整</v>
      </c>
      <c r="C1067" s="2" t="str">
        <f>"01ﾃ00801"</f>
        <v>01ﾃ00801</v>
      </c>
      <c r="D1067" s="2" t="str">
        <f>"展示板"</f>
        <v>展示板</v>
      </c>
      <c r="E1067" s="3" t="str">
        <f>"木製"</f>
        <v>木製</v>
      </c>
      <c r="F1067" s="2" t="str">
        <f t="shared" si="245"/>
        <v>０００１</v>
      </c>
      <c r="G1067" s="2" t="str">
        <f>"3620004123"</f>
        <v>3620004123</v>
      </c>
      <c r="H1067" s="2" t="str">
        <f t="shared" si="246"/>
        <v>001</v>
      </c>
      <c r="I1067" s="2" t="str">
        <f t="shared" si="247"/>
        <v>4100401</v>
      </c>
      <c r="J1067" s="2">
        <f>56000</f>
        <v>56000</v>
      </c>
      <c r="K1067" s="2" t="str">
        <f t="shared" si="249"/>
        <v>枚</v>
      </c>
      <c r="L1067" s="2" t="str">
        <f t="shared" si="248"/>
        <v>3630331</v>
      </c>
      <c r="M1067" s="2" t="str">
        <f>""</f>
        <v/>
      </c>
    </row>
    <row r="1068" spans="1:13" x14ac:dyDescent="0.15">
      <c r="A1068" s="2" t="str">
        <f t="shared" si="243"/>
        <v>1881110500</v>
      </c>
      <c r="B1068" s="2" t="str">
        <f t="shared" si="244"/>
        <v>佐伯・区政調整</v>
      </c>
      <c r="C1068" s="2" t="str">
        <f>"01ﾃ00801"</f>
        <v>01ﾃ00801</v>
      </c>
      <c r="D1068" s="2" t="str">
        <f>"展示板"</f>
        <v>展示板</v>
      </c>
      <c r="E1068" s="3" t="str">
        <f>"木製"</f>
        <v>木製</v>
      </c>
      <c r="F1068" s="2" t="str">
        <f t="shared" si="245"/>
        <v>０００１</v>
      </c>
      <c r="G1068" s="2" t="str">
        <f>"3620004124"</f>
        <v>3620004124</v>
      </c>
      <c r="H1068" s="2" t="str">
        <f t="shared" si="246"/>
        <v>001</v>
      </c>
      <c r="I1068" s="2" t="str">
        <f t="shared" si="247"/>
        <v>4100401</v>
      </c>
      <c r="J1068" s="2">
        <f>56000</f>
        <v>56000</v>
      </c>
      <c r="K1068" s="2" t="str">
        <f t="shared" si="249"/>
        <v>枚</v>
      </c>
      <c r="L1068" s="2" t="str">
        <f t="shared" si="248"/>
        <v>3630331</v>
      </c>
      <c r="M1068" s="2" t="str">
        <f>""</f>
        <v/>
      </c>
    </row>
    <row r="1069" spans="1:13" x14ac:dyDescent="0.15">
      <c r="A1069" s="2" t="str">
        <f t="shared" si="243"/>
        <v>1881110500</v>
      </c>
      <c r="B1069" s="2" t="str">
        <f t="shared" si="244"/>
        <v>佐伯・区政調整</v>
      </c>
      <c r="C1069" s="2" t="str">
        <f>"01ﾄ00102"</f>
        <v>01ﾄ00102</v>
      </c>
      <c r="D1069" s="2" t="str">
        <f>"黒板"</f>
        <v>黒板</v>
      </c>
      <c r="E1069" s="3" t="str">
        <f>"回転・移動式"</f>
        <v>回転・移動式</v>
      </c>
      <c r="F1069" s="2" t="str">
        <f t="shared" si="245"/>
        <v>０００１</v>
      </c>
      <c r="G1069" s="2" t="str">
        <f>"3620004125"</f>
        <v>3620004125</v>
      </c>
      <c r="H1069" s="2" t="str">
        <f t="shared" si="246"/>
        <v>001</v>
      </c>
      <c r="I1069" s="2" t="str">
        <f t="shared" ref="I1069:I1073" si="250">"4100401"</f>
        <v>4100401</v>
      </c>
      <c r="J1069" s="2">
        <f>34500</f>
        <v>34500</v>
      </c>
      <c r="K1069" s="2" t="str">
        <f t="shared" si="249"/>
        <v>枚</v>
      </c>
      <c r="L1069" s="2" t="str">
        <f t="shared" si="248"/>
        <v>3630331</v>
      </c>
      <c r="M1069" s="2" t="str">
        <f>""</f>
        <v/>
      </c>
    </row>
    <row r="1070" spans="1:13" x14ac:dyDescent="0.15">
      <c r="A1070" s="2" t="str">
        <f t="shared" si="243"/>
        <v>1881110500</v>
      </c>
      <c r="B1070" s="2" t="str">
        <f t="shared" si="244"/>
        <v>佐伯・区政調整</v>
      </c>
      <c r="C1070" s="2" t="str">
        <f>"01ﾄ00102"</f>
        <v>01ﾄ00102</v>
      </c>
      <c r="D1070" s="2" t="str">
        <f>"黒板"</f>
        <v>黒板</v>
      </c>
      <c r="E1070" s="3" t="str">
        <f>"回転・移動式"</f>
        <v>回転・移動式</v>
      </c>
      <c r="F1070" s="2" t="str">
        <f t="shared" si="245"/>
        <v>０００１</v>
      </c>
      <c r="G1070" s="2" t="str">
        <f>"3620004126"</f>
        <v>3620004126</v>
      </c>
      <c r="H1070" s="2" t="str">
        <f t="shared" si="246"/>
        <v>001</v>
      </c>
      <c r="I1070" s="2" t="str">
        <f t="shared" si="250"/>
        <v>4100401</v>
      </c>
      <c r="J1070" s="2">
        <f>34500</f>
        <v>34500</v>
      </c>
      <c r="K1070" s="2" t="str">
        <f t="shared" si="249"/>
        <v>枚</v>
      </c>
      <c r="L1070" s="2" t="str">
        <f t="shared" si="248"/>
        <v>3630331</v>
      </c>
      <c r="M1070" s="2" t="str">
        <f>""</f>
        <v/>
      </c>
    </row>
    <row r="1071" spans="1:13" x14ac:dyDescent="0.15">
      <c r="A1071" s="2" t="str">
        <f t="shared" si="243"/>
        <v>1881110500</v>
      </c>
      <c r="B1071" s="2" t="str">
        <f t="shared" si="244"/>
        <v>佐伯・区政調整</v>
      </c>
      <c r="C1071" s="2" t="str">
        <f>"01ﾄ00102"</f>
        <v>01ﾄ00102</v>
      </c>
      <c r="D1071" s="2" t="str">
        <f>"黒板"</f>
        <v>黒板</v>
      </c>
      <c r="E1071" s="3" t="str">
        <f>"回転・移動式"</f>
        <v>回転・移動式</v>
      </c>
      <c r="F1071" s="2" t="str">
        <f t="shared" si="245"/>
        <v>０００１</v>
      </c>
      <c r="G1071" s="2" t="str">
        <f>"3620004127"</f>
        <v>3620004127</v>
      </c>
      <c r="H1071" s="2" t="str">
        <f t="shared" si="246"/>
        <v>001</v>
      </c>
      <c r="I1071" s="2" t="str">
        <f t="shared" si="250"/>
        <v>4100401</v>
      </c>
      <c r="J1071" s="2">
        <f>34500</f>
        <v>34500</v>
      </c>
      <c r="K1071" s="2" t="str">
        <f t="shared" si="249"/>
        <v>枚</v>
      </c>
      <c r="L1071" s="2" t="str">
        <f t="shared" si="248"/>
        <v>3630331</v>
      </c>
      <c r="M1071" s="2" t="str">
        <f>""</f>
        <v/>
      </c>
    </row>
    <row r="1072" spans="1:13" x14ac:dyDescent="0.15">
      <c r="A1072" s="2" t="str">
        <f t="shared" si="243"/>
        <v>1881110500</v>
      </c>
      <c r="B1072" s="2" t="str">
        <f t="shared" si="244"/>
        <v>佐伯・区政調整</v>
      </c>
      <c r="C1072" s="2" t="str">
        <f>"01ﾄ00102"</f>
        <v>01ﾄ00102</v>
      </c>
      <c r="D1072" s="2" t="str">
        <f>"黒板"</f>
        <v>黒板</v>
      </c>
      <c r="E1072" s="3" t="str">
        <f>"回転・移動　Ｇ掲示板"</f>
        <v>回転・移動　Ｇ掲示板</v>
      </c>
      <c r="F1072" s="2" t="str">
        <f t="shared" si="245"/>
        <v>０００１</v>
      </c>
      <c r="G1072" s="2" t="str">
        <f>"3620004128"</f>
        <v>3620004128</v>
      </c>
      <c r="H1072" s="2" t="str">
        <f t="shared" si="246"/>
        <v>001</v>
      </c>
      <c r="I1072" s="2" t="str">
        <f t="shared" si="250"/>
        <v>4100401</v>
      </c>
      <c r="J1072" s="2">
        <f>29500</f>
        <v>29500</v>
      </c>
      <c r="K1072" s="2" t="str">
        <f t="shared" si="249"/>
        <v>枚</v>
      </c>
      <c r="L1072" s="2" t="str">
        <f t="shared" si="248"/>
        <v>3630331</v>
      </c>
      <c r="M1072" s="2" t="str">
        <f>""</f>
        <v/>
      </c>
    </row>
    <row r="1073" spans="1:13" x14ac:dyDescent="0.15">
      <c r="A1073" s="2" t="str">
        <f t="shared" si="243"/>
        <v>1881110500</v>
      </c>
      <c r="B1073" s="2" t="str">
        <f t="shared" si="244"/>
        <v>佐伯・区政調整</v>
      </c>
      <c r="C1073" s="2" t="str">
        <f t="shared" ref="C1073:C1078" si="251">"01ﾄ00105"</f>
        <v>01ﾄ00105</v>
      </c>
      <c r="D1073" s="2" t="str">
        <f t="shared" ref="D1073:D1078" si="252">"白板"</f>
        <v>白板</v>
      </c>
      <c r="E1073" s="3" t="str">
        <f>"１８００×９００"</f>
        <v>１８００×９００</v>
      </c>
      <c r="F1073" s="2" t="str">
        <f t="shared" si="245"/>
        <v>０００１</v>
      </c>
      <c r="G1073" s="2" t="str">
        <f>"3620004129"</f>
        <v>3620004129</v>
      </c>
      <c r="H1073" s="2" t="str">
        <f t="shared" si="246"/>
        <v>001</v>
      </c>
      <c r="I1073" s="2" t="str">
        <f t="shared" si="250"/>
        <v>4100401</v>
      </c>
      <c r="J1073" s="2">
        <f>27000</f>
        <v>27000</v>
      </c>
      <c r="K1073" s="2" t="str">
        <f t="shared" si="249"/>
        <v>枚</v>
      </c>
      <c r="L1073" s="2" t="str">
        <f t="shared" si="248"/>
        <v>3630331</v>
      </c>
      <c r="M1073" s="2" t="str">
        <f>""</f>
        <v/>
      </c>
    </row>
    <row r="1074" spans="1:13" x14ac:dyDescent="0.15">
      <c r="A1074" s="2" t="str">
        <f t="shared" si="243"/>
        <v>1881110500</v>
      </c>
      <c r="B1074" s="2" t="str">
        <f t="shared" si="244"/>
        <v>佐伯・区政調整</v>
      </c>
      <c r="C1074" s="2" t="str">
        <f t="shared" si="251"/>
        <v>01ﾄ00105</v>
      </c>
      <c r="D1074" s="2" t="str">
        <f t="shared" si="252"/>
        <v>白板</v>
      </c>
      <c r="E1074" s="3" t="str">
        <f>"ライオン事務機ＷＰ－３６Ｗ"</f>
        <v>ライオン事務機ＷＰ－３６Ｗ</v>
      </c>
      <c r="F1074" s="2" t="str">
        <f t="shared" si="245"/>
        <v>０００１</v>
      </c>
      <c r="G1074" s="2" t="str">
        <f>"4260002650"</f>
        <v>4260002650</v>
      </c>
      <c r="H1074" s="2" t="str">
        <f t="shared" si="246"/>
        <v>001</v>
      </c>
      <c r="I1074" s="2" t="str">
        <f>"4260401"</f>
        <v>4260401</v>
      </c>
      <c r="J1074" s="2">
        <f>62000</f>
        <v>62000</v>
      </c>
      <c r="K1074" s="2" t="str">
        <f t="shared" si="249"/>
        <v>枚</v>
      </c>
      <c r="L1074" s="2" t="str">
        <f>"4260401"</f>
        <v>4260401</v>
      </c>
      <c r="M1074" s="2" t="str">
        <f>"4260401"</f>
        <v>4260401</v>
      </c>
    </row>
    <row r="1075" spans="1:13" x14ac:dyDescent="0.15">
      <c r="A1075" s="2" t="str">
        <f t="shared" si="243"/>
        <v>1881110500</v>
      </c>
      <c r="B1075" s="2" t="str">
        <f t="shared" si="244"/>
        <v>佐伯・区政調整</v>
      </c>
      <c r="C1075" s="2" t="str">
        <f t="shared" si="251"/>
        <v>01ﾄ00105</v>
      </c>
      <c r="D1075" s="2" t="str">
        <f t="shared" si="252"/>
        <v>白板</v>
      </c>
      <c r="E1075" s="3" t="str">
        <f>"ライオン事務機ＷＰ－３６Ｗ"</f>
        <v>ライオン事務機ＷＰ－３６Ｗ</v>
      </c>
      <c r="F1075" s="2" t="str">
        <f t="shared" si="245"/>
        <v>０００１</v>
      </c>
      <c r="G1075" s="2" t="str">
        <f>"4260002650"</f>
        <v>4260002650</v>
      </c>
      <c r="H1075" s="2" t="str">
        <f>"002"</f>
        <v>002</v>
      </c>
      <c r="I1075" s="2" t="str">
        <f>"4260401"</f>
        <v>4260401</v>
      </c>
      <c r="J1075" s="2">
        <f>62000</f>
        <v>62000</v>
      </c>
      <c r="K1075" s="2" t="str">
        <f t="shared" si="249"/>
        <v>枚</v>
      </c>
      <c r="L1075" s="2" t="str">
        <f>"4260401"</f>
        <v>4260401</v>
      </c>
      <c r="M1075" s="2" t="str">
        <f>"4260401"</f>
        <v>4260401</v>
      </c>
    </row>
    <row r="1076" spans="1:13" x14ac:dyDescent="0.15">
      <c r="A1076" s="2" t="str">
        <f t="shared" si="243"/>
        <v>1881110500</v>
      </c>
      <c r="B1076" s="2" t="str">
        <f t="shared" si="244"/>
        <v>佐伯・区政調整</v>
      </c>
      <c r="C1076" s="2" t="str">
        <f t="shared" si="251"/>
        <v>01ﾄ00105</v>
      </c>
      <c r="D1076" s="2" t="str">
        <f t="shared" si="252"/>
        <v>白板</v>
      </c>
      <c r="E1076" s="3" t="str">
        <f>"ライオン事務機ＷＰ－３６Ｗ"</f>
        <v>ライオン事務機ＷＰ－３６Ｗ</v>
      </c>
      <c r="F1076" s="2" t="str">
        <f t="shared" si="245"/>
        <v>０００１</v>
      </c>
      <c r="G1076" s="2" t="str">
        <f>"4260002650"</f>
        <v>4260002650</v>
      </c>
      <c r="H1076" s="2" t="str">
        <f>"003"</f>
        <v>003</v>
      </c>
      <c r="I1076" s="2" t="str">
        <f>"4260401"</f>
        <v>4260401</v>
      </c>
      <c r="J1076" s="2">
        <f>62000</f>
        <v>62000</v>
      </c>
      <c r="K1076" s="2" t="str">
        <f t="shared" si="249"/>
        <v>枚</v>
      </c>
      <c r="L1076" s="2" t="str">
        <f>"4260401"</f>
        <v>4260401</v>
      </c>
      <c r="M1076" s="2" t="str">
        <f>"4260401"</f>
        <v>4260401</v>
      </c>
    </row>
    <row r="1077" spans="1:13" x14ac:dyDescent="0.15">
      <c r="A1077" s="2" t="str">
        <f t="shared" si="243"/>
        <v>1881110500</v>
      </c>
      <c r="B1077" s="2" t="str">
        <f t="shared" si="244"/>
        <v>佐伯・区政調整</v>
      </c>
      <c r="C1077" s="2" t="str">
        <f t="shared" si="251"/>
        <v>01ﾄ00105</v>
      </c>
      <c r="D1077" s="2" t="str">
        <f t="shared" si="252"/>
        <v>白板</v>
      </c>
      <c r="E1077" s="3" t="str">
        <f>"五線譜入ホワイトボード　トーギ製　ＰＴＨＨ９１８"</f>
        <v>五線譜入ホワイトボード　トーギ製　ＰＴＨＨ９１８</v>
      </c>
      <c r="F1077" s="2" t="str">
        <f>"区民文化センター"</f>
        <v>区民文化センター</v>
      </c>
      <c r="G1077" s="2" t="str">
        <f>"4290002186"</f>
        <v>4290002186</v>
      </c>
      <c r="H1077" s="2" t="str">
        <f>"001"</f>
        <v>001</v>
      </c>
      <c r="I1077" s="2" t="str">
        <f>"4290822"</f>
        <v>4290822</v>
      </c>
      <c r="J1077" s="2">
        <f>39960</f>
        <v>39960</v>
      </c>
      <c r="K1077" s="2" t="str">
        <f t="shared" si="249"/>
        <v>枚</v>
      </c>
      <c r="L1077" s="2" t="str">
        <f>"4290822"</f>
        <v>4290822</v>
      </c>
      <c r="M1077" s="2" t="str">
        <f>"4290822"</f>
        <v>4290822</v>
      </c>
    </row>
    <row r="1078" spans="1:13" x14ac:dyDescent="0.15">
      <c r="A1078" s="2" t="str">
        <f t="shared" si="243"/>
        <v>1881110500</v>
      </c>
      <c r="B1078" s="2" t="str">
        <f t="shared" si="244"/>
        <v>佐伯・区政調整</v>
      </c>
      <c r="C1078" s="2" t="str">
        <f t="shared" si="251"/>
        <v>01ﾄ00105</v>
      </c>
      <c r="D1078" s="2" t="str">
        <f t="shared" si="252"/>
        <v>白板</v>
      </c>
      <c r="E1078" s="3" t="str">
        <f>"両面ホワイトボード　３×６型　ＨＷＡ／ＨＷＡ"</f>
        <v>両面ホワイトボード　３×６型　ＨＷＡ／ＨＷＡ</v>
      </c>
      <c r="F1078" s="2" t="str">
        <f>"佐伯区民文化センター"</f>
        <v>佐伯区民文化センター</v>
      </c>
      <c r="G1078" s="2" t="str">
        <f>"4300000522"</f>
        <v>4300000522</v>
      </c>
      <c r="H1078" s="2" t="str">
        <f>"001"</f>
        <v>001</v>
      </c>
      <c r="I1078" s="2" t="str">
        <f>"4300518"</f>
        <v>4300518</v>
      </c>
      <c r="J1078" s="2">
        <f>63963</f>
        <v>63963</v>
      </c>
      <c r="K1078" s="2" t="str">
        <f t="shared" si="249"/>
        <v>枚</v>
      </c>
      <c r="L1078" s="2" t="str">
        <f>"4300518"</f>
        <v>4300518</v>
      </c>
      <c r="M1078" s="2" t="str">
        <f>"4300518"</f>
        <v>4300518</v>
      </c>
    </row>
    <row r="1079" spans="1:13" x14ac:dyDescent="0.15">
      <c r="A1079" s="2" t="str">
        <f t="shared" ref="A1079:A1080" si="253">"1881110500"</f>
        <v>1881110500</v>
      </c>
      <c r="B1079" s="2" t="str">
        <f t="shared" ref="B1079:B1080" si="254">"佐伯・区政調整"</f>
        <v>佐伯・区政調整</v>
      </c>
      <c r="C1079" s="2" t="str">
        <f>"01ﾄ00501"</f>
        <v>01ﾄ00501</v>
      </c>
      <c r="D1079" s="2" t="str">
        <f>"戸棚"</f>
        <v>戸棚</v>
      </c>
      <c r="E1079" s="3" t="str">
        <f>"工具用　Ｈ＝１８００"</f>
        <v>工具用　Ｈ＝１８００</v>
      </c>
      <c r="F1079" s="2" t="str">
        <f t="shared" ref="F1079:F1090" si="255">"０００１"</f>
        <v>０００１</v>
      </c>
      <c r="G1079" s="2" t="str">
        <f>"3620004130"</f>
        <v>3620004130</v>
      </c>
      <c r="H1079" s="2" t="str">
        <f t="shared" ref="H1079:H1080" si="256">"001"</f>
        <v>001</v>
      </c>
      <c r="I1079" s="2" t="str">
        <f>"4100401"</f>
        <v>4100401</v>
      </c>
      <c r="J1079" s="2">
        <f>145000</f>
        <v>145000</v>
      </c>
      <c r="K1079" s="2" t="str">
        <f t="shared" ref="K1079:K1080" si="257">"個"</f>
        <v>個</v>
      </c>
      <c r="L1079" s="2" t="str">
        <f>"3630331"</f>
        <v>3630331</v>
      </c>
      <c r="M1079" s="2" t="str">
        <f>""</f>
        <v/>
      </c>
    </row>
    <row r="1080" spans="1:13" x14ac:dyDescent="0.15">
      <c r="A1080" s="2" t="str">
        <f t="shared" si="253"/>
        <v>1881110500</v>
      </c>
      <c r="B1080" s="2" t="str">
        <f t="shared" si="254"/>
        <v>佐伯・区政調整</v>
      </c>
      <c r="C1080" s="2" t="str">
        <f>"01ﾄ00501"</f>
        <v>01ﾄ00501</v>
      </c>
      <c r="D1080" s="2" t="str">
        <f>"戸棚"</f>
        <v>戸棚</v>
      </c>
      <c r="E1080" s="3" t="str">
        <f>"工具用　Ｈ＝１８００"</f>
        <v>工具用　Ｈ＝１８００</v>
      </c>
      <c r="F1080" s="2" t="str">
        <f t="shared" si="255"/>
        <v>０００１</v>
      </c>
      <c r="G1080" s="2" t="str">
        <f>"3620004131"</f>
        <v>3620004131</v>
      </c>
      <c r="H1080" s="2" t="str">
        <f t="shared" si="256"/>
        <v>001</v>
      </c>
      <c r="I1080" s="2" t="str">
        <f>"4100401"</f>
        <v>4100401</v>
      </c>
      <c r="J1080" s="2">
        <f>176500</f>
        <v>176500</v>
      </c>
      <c r="K1080" s="2" t="str">
        <f t="shared" si="257"/>
        <v>個</v>
      </c>
      <c r="L1080" s="2" t="str">
        <f>"3630331"</f>
        <v>3630331</v>
      </c>
      <c r="M1080" s="2" t="str">
        <f>""</f>
        <v/>
      </c>
    </row>
    <row r="1081" spans="1:13" x14ac:dyDescent="0.15">
      <c r="A1081" s="2" t="str">
        <f t="shared" ref="A1081:A1084" si="258">"1881110500"</f>
        <v>1881110500</v>
      </c>
      <c r="B1081" s="2" t="str">
        <f t="shared" ref="B1081:B1084" si="259">"佐伯・区政調整"</f>
        <v>佐伯・区政調整</v>
      </c>
      <c r="C1081" s="2" t="str">
        <f t="shared" ref="C1081:C1084" si="260">"01ﾄ00504"</f>
        <v>01ﾄ00504</v>
      </c>
      <c r="D1081" s="2" t="str">
        <f t="shared" ref="D1081:D1084" si="261">"ロッカー"</f>
        <v>ロッカー</v>
      </c>
      <c r="E1081" s="3" t="str">
        <f>"２列４段ＶＰ－４Ｗ"</f>
        <v>２列４段ＶＰ－４Ｗ</v>
      </c>
      <c r="F1081" s="2" t="str">
        <f t="shared" si="255"/>
        <v>０００１</v>
      </c>
      <c r="G1081" s="2" t="str">
        <f>"4230003781"</f>
        <v>4230003781</v>
      </c>
      <c r="H1081" s="2" t="str">
        <f t="shared" ref="H1081:H1084" si="262">"001"</f>
        <v>001</v>
      </c>
      <c r="I1081" s="2" t="str">
        <f>"4231125"</f>
        <v>4231125</v>
      </c>
      <c r="J1081" s="2">
        <f>136500</f>
        <v>136500</v>
      </c>
      <c r="K1081" s="2" t="str">
        <f t="shared" ref="K1081:K1084" si="263">"個"</f>
        <v>個</v>
      </c>
      <c r="L1081" s="2" t="str">
        <f>"4231125"</f>
        <v>4231125</v>
      </c>
      <c r="M1081" s="2" t="str">
        <f>"4231125"</f>
        <v>4231125</v>
      </c>
    </row>
    <row r="1082" spans="1:13" x14ac:dyDescent="0.15">
      <c r="A1082" s="2" t="str">
        <f t="shared" si="258"/>
        <v>1881110500</v>
      </c>
      <c r="B1082" s="2" t="str">
        <f t="shared" si="259"/>
        <v>佐伯・区政調整</v>
      </c>
      <c r="C1082" s="2" t="str">
        <f t="shared" si="260"/>
        <v>01ﾄ00504</v>
      </c>
      <c r="D1082" s="2" t="str">
        <f t="shared" si="261"/>
        <v>ロッカー</v>
      </c>
      <c r="E1082" s="3" t="str">
        <f>"２列４段ＶＰ－４Ｗ"</f>
        <v>２列４段ＶＰ－４Ｗ</v>
      </c>
      <c r="F1082" s="2" t="str">
        <f t="shared" si="255"/>
        <v>０００１</v>
      </c>
      <c r="G1082" s="2" t="str">
        <f>"4230003782"</f>
        <v>4230003782</v>
      </c>
      <c r="H1082" s="2" t="str">
        <f t="shared" si="262"/>
        <v>001</v>
      </c>
      <c r="I1082" s="2" t="str">
        <f>"4231125"</f>
        <v>4231125</v>
      </c>
      <c r="J1082" s="2">
        <f>136500</f>
        <v>136500</v>
      </c>
      <c r="K1082" s="2" t="str">
        <f t="shared" si="263"/>
        <v>個</v>
      </c>
      <c r="L1082" s="2" t="str">
        <f>"4231125"</f>
        <v>4231125</v>
      </c>
      <c r="M1082" s="2" t="str">
        <f>"4231125"</f>
        <v>4231125</v>
      </c>
    </row>
    <row r="1083" spans="1:13" x14ac:dyDescent="0.15">
      <c r="A1083" s="2" t="str">
        <f t="shared" si="258"/>
        <v>1881110500</v>
      </c>
      <c r="B1083" s="2" t="str">
        <f t="shared" si="259"/>
        <v>佐伯・区政調整</v>
      </c>
      <c r="C1083" s="2" t="str">
        <f t="shared" si="260"/>
        <v>01ﾄ00504</v>
      </c>
      <c r="D1083" s="2" t="str">
        <f t="shared" si="261"/>
        <v>ロッカー</v>
      </c>
      <c r="E1083" s="3" t="str">
        <f>"２列４段ＶＰ－４Ｗ"</f>
        <v>２列４段ＶＰ－４Ｗ</v>
      </c>
      <c r="F1083" s="2" t="str">
        <f t="shared" si="255"/>
        <v>０００１</v>
      </c>
      <c r="G1083" s="2" t="str">
        <f>"4230003783"</f>
        <v>4230003783</v>
      </c>
      <c r="H1083" s="2" t="str">
        <f t="shared" si="262"/>
        <v>001</v>
      </c>
      <c r="I1083" s="2" t="str">
        <f>"4231125"</f>
        <v>4231125</v>
      </c>
      <c r="J1083" s="2">
        <f>136500</f>
        <v>136500</v>
      </c>
      <c r="K1083" s="2" t="str">
        <f t="shared" si="263"/>
        <v>個</v>
      </c>
      <c r="L1083" s="2" t="str">
        <f>"4231125"</f>
        <v>4231125</v>
      </c>
      <c r="M1083" s="2" t="str">
        <f>"4231125"</f>
        <v>4231125</v>
      </c>
    </row>
    <row r="1084" spans="1:13" x14ac:dyDescent="0.15">
      <c r="A1084" s="2" t="str">
        <f t="shared" si="258"/>
        <v>1881110500</v>
      </c>
      <c r="B1084" s="2" t="str">
        <f t="shared" si="259"/>
        <v>佐伯・区政調整</v>
      </c>
      <c r="C1084" s="2" t="str">
        <f t="shared" si="260"/>
        <v>01ﾄ00504</v>
      </c>
      <c r="D1084" s="2" t="str">
        <f t="shared" si="261"/>
        <v>ロッカー</v>
      </c>
      <c r="E1084" s="3" t="str">
        <f>"２列４段ＶＰ－４Ｗ"</f>
        <v>２列４段ＶＰ－４Ｗ</v>
      </c>
      <c r="F1084" s="2" t="str">
        <f t="shared" si="255"/>
        <v>０００１</v>
      </c>
      <c r="G1084" s="2" t="str">
        <f>"4230003784"</f>
        <v>4230003784</v>
      </c>
      <c r="H1084" s="2" t="str">
        <f t="shared" si="262"/>
        <v>001</v>
      </c>
      <c r="I1084" s="2" t="str">
        <f>"4231125"</f>
        <v>4231125</v>
      </c>
      <c r="J1084" s="2">
        <f>136500</f>
        <v>136500</v>
      </c>
      <c r="K1084" s="2" t="str">
        <f t="shared" si="263"/>
        <v>個</v>
      </c>
      <c r="L1084" s="2" t="str">
        <f>"4231125"</f>
        <v>4231125</v>
      </c>
      <c r="M1084" s="2" t="str">
        <f>"4231125"</f>
        <v>4231125</v>
      </c>
    </row>
    <row r="1085" spans="1:13" x14ac:dyDescent="0.15">
      <c r="A1085" s="2" t="str">
        <f t="shared" ref="A1085:A1089" si="264">"1881110500"</f>
        <v>1881110500</v>
      </c>
      <c r="B1085" s="2" t="str">
        <f t="shared" ref="B1085:B1089" si="265">"佐伯・区政調整"</f>
        <v>佐伯・区政調整</v>
      </c>
      <c r="C1085" s="2" t="str">
        <f t="shared" ref="C1085" si="266">"01ﾄ00505"</f>
        <v>01ﾄ00505</v>
      </c>
      <c r="D1085" s="2" t="str">
        <f t="shared" ref="D1085" si="267">"保管庫"</f>
        <v>保管庫</v>
      </c>
      <c r="E1085" s="3" t="str">
        <f>"金びょうぶ保管庫"</f>
        <v>金びょうぶ保管庫</v>
      </c>
      <c r="F1085" s="2" t="str">
        <f t="shared" si="255"/>
        <v>０００１</v>
      </c>
      <c r="G1085" s="2" t="str">
        <f>"3620004132"</f>
        <v>3620004132</v>
      </c>
      <c r="H1085" s="2" t="str">
        <f t="shared" ref="H1085" si="268">"001"</f>
        <v>001</v>
      </c>
      <c r="I1085" s="2" t="str">
        <f t="shared" ref="I1085" si="269">"4100401"</f>
        <v>4100401</v>
      </c>
      <c r="J1085" s="2">
        <f>240000</f>
        <v>240000</v>
      </c>
      <c r="K1085" s="2" t="str">
        <f t="shared" ref="K1085" si="270">"個"</f>
        <v>個</v>
      </c>
      <c r="L1085" s="2" t="str">
        <f>"3630331"</f>
        <v>3630331</v>
      </c>
      <c r="M1085" s="2" t="str">
        <f>""</f>
        <v/>
      </c>
    </row>
    <row r="1086" spans="1:13" x14ac:dyDescent="0.15">
      <c r="A1086" s="2" t="str">
        <f t="shared" si="264"/>
        <v>1881110500</v>
      </c>
      <c r="B1086" s="2" t="str">
        <f t="shared" si="265"/>
        <v>佐伯・区政調整</v>
      </c>
      <c r="C1086" s="2" t="str">
        <f t="shared" ref="C1086:C1089" si="271">"01ﾊ00701"</f>
        <v>01ﾊ00701</v>
      </c>
      <c r="D1086" s="2" t="str">
        <f t="shared" ref="D1086:D1089" si="272">"パーソナルコンピュータ"</f>
        <v>パーソナルコンピュータ</v>
      </c>
      <c r="E1086" s="3" t="str">
        <f>"ＯｐｔｉＰｌｅｘ　ＧＸ５２０"</f>
        <v>ＯｐｔｉＰｌｅｘ　ＧＸ５２０</v>
      </c>
      <c r="F1086" s="2" t="str">
        <f t="shared" si="255"/>
        <v>０００１</v>
      </c>
      <c r="G1086" s="2" t="str">
        <f>"4180002117"</f>
        <v>4180002117</v>
      </c>
      <c r="H1086" s="2" t="str">
        <f t="shared" ref="H1086:H1089" si="273">"001"</f>
        <v>001</v>
      </c>
      <c r="I1086" s="2" t="str">
        <f>"4180806"</f>
        <v>4180806</v>
      </c>
      <c r="J1086" s="2">
        <f>139545</f>
        <v>139545</v>
      </c>
      <c r="K1086" s="2" t="str">
        <f t="shared" ref="K1086:K1089" si="274">"式"</f>
        <v>式</v>
      </c>
      <c r="L1086" s="2" t="str">
        <f>"4180806"</f>
        <v>4180806</v>
      </c>
      <c r="M1086" s="2" t="str">
        <f>"4180806"</f>
        <v>4180806</v>
      </c>
    </row>
    <row r="1087" spans="1:13" x14ac:dyDescent="0.15">
      <c r="A1087" s="2" t="str">
        <f t="shared" si="264"/>
        <v>1881110500</v>
      </c>
      <c r="B1087" s="2" t="str">
        <f t="shared" si="265"/>
        <v>佐伯・区政調整</v>
      </c>
      <c r="C1087" s="2" t="str">
        <f t="shared" si="271"/>
        <v>01ﾊ00701</v>
      </c>
      <c r="D1087" s="2" t="str">
        <f t="shared" si="272"/>
        <v>パーソナルコンピュータ</v>
      </c>
      <c r="E1087" s="3" t="str">
        <f>"ＯｐｔｉＰｌｅｘ　ＧＸ５２０"</f>
        <v>ＯｐｔｉＰｌｅｘ　ＧＸ５２０</v>
      </c>
      <c r="F1087" s="2" t="str">
        <f t="shared" si="255"/>
        <v>０００１</v>
      </c>
      <c r="G1087" s="2" t="str">
        <f>"4180002118"</f>
        <v>4180002118</v>
      </c>
      <c r="H1087" s="2" t="str">
        <f t="shared" si="273"/>
        <v>001</v>
      </c>
      <c r="I1087" s="2" t="str">
        <f>"4180806"</f>
        <v>4180806</v>
      </c>
      <c r="J1087" s="2">
        <f>139545</f>
        <v>139545</v>
      </c>
      <c r="K1087" s="2" t="str">
        <f t="shared" si="274"/>
        <v>式</v>
      </c>
      <c r="L1087" s="2" t="str">
        <f>"4180806"</f>
        <v>4180806</v>
      </c>
      <c r="M1087" s="2" t="str">
        <f>"4180806"</f>
        <v>4180806</v>
      </c>
    </row>
    <row r="1088" spans="1:13" x14ac:dyDescent="0.15">
      <c r="A1088" s="2" t="str">
        <f t="shared" si="264"/>
        <v>1881110500</v>
      </c>
      <c r="B1088" s="2" t="str">
        <f t="shared" si="265"/>
        <v>佐伯・区政調整</v>
      </c>
      <c r="C1088" s="2" t="str">
        <f t="shared" si="271"/>
        <v>01ﾊ00701</v>
      </c>
      <c r="D1088" s="2" t="str">
        <f t="shared" si="272"/>
        <v>パーソナルコンピュータ</v>
      </c>
      <c r="E1088" s="3" t="str">
        <f>"ＯｐｔｉＰｌｅｘ　ＧＸ５２０"</f>
        <v>ＯｐｔｉＰｌｅｘ　ＧＸ５２０</v>
      </c>
      <c r="F1088" s="2" t="str">
        <f t="shared" si="255"/>
        <v>０００１</v>
      </c>
      <c r="G1088" s="2" t="str">
        <f>"4180002119"</f>
        <v>4180002119</v>
      </c>
      <c r="H1088" s="2" t="str">
        <f t="shared" si="273"/>
        <v>001</v>
      </c>
      <c r="I1088" s="2" t="str">
        <f>"4180806"</f>
        <v>4180806</v>
      </c>
      <c r="J1088" s="2">
        <f>139545</f>
        <v>139545</v>
      </c>
      <c r="K1088" s="2" t="str">
        <f t="shared" si="274"/>
        <v>式</v>
      </c>
      <c r="L1088" s="2" t="str">
        <f>"4180806"</f>
        <v>4180806</v>
      </c>
      <c r="M1088" s="2" t="str">
        <f>"4180806"</f>
        <v>4180806</v>
      </c>
    </row>
    <row r="1089" spans="1:13" x14ac:dyDescent="0.15">
      <c r="A1089" s="2" t="str">
        <f t="shared" si="264"/>
        <v>1881110500</v>
      </c>
      <c r="B1089" s="2" t="str">
        <f t="shared" si="265"/>
        <v>佐伯・区政調整</v>
      </c>
      <c r="C1089" s="2" t="str">
        <f t="shared" si="271"/>
        <v>01ﾊ00701</v>
      </c>
      <c r="D1089" s="2" t="str">
        <f t="shared" si="272"/>
        <v>パーソナルコンピュータ</v>
      </c>
      <c r="E1089" s="3" t="str">
        <f>"ＯｐｔｉＰｌｅｘ　ＧＸ５２０"</f>
        <v>ＯｐｔｉＰｌｅｘ　ＧＸ５２０</v>
      </c>
      <c r="F1089" s="2" t="str">
        <f t="shared" si="255"/>
        <v>０００１</v>
      </c>
      <c r="G1089" s="2" t="str">
        <f>"4180002120"</f>
        <v>4180002120</v>
      </c>
      <c r="H1089" s="2" t="str">
        <f t="shared" si="273"/>
        <v>001</v>
      </c>
      <c r="I1089" s="2" t="str">
        <f>"4180806"</f>
        <v>4180806</v>
      </c>
      <c r="J1089" s="2">
        <f>139545</f>
        <v>139545</v>
      </c>
      <c r="K1089" s="2" t="str">
        <f t="shared" si="274"/>
        <v>式</v>
      </c>
      <c r="L1089" s="2" t="str">
        <f>"4180806"</f>
        <v>4180806</v>
      </c>
      <c r="M1089" s="2" t="str">
        <f>"4180806"</f>
        <v>4180806</v>
      </c>
    </row>
    <row r="1090" spans="1:13" x14ac:dyDescent="0.15">
      <c r="A1090" s="2" t="str">
        <f t="shared" ref="A1090:A1110" si="275">"1881110500"</f>
        <v>1881110500</v>
      </c>
      <c r="B1090" s="2" t="str">
        <f t="shared" ref="B1090:B1110" si="276">"佐伯・区政調整"</f>
        <v>佐伯・区政調整</v>
      </c>
      <c r="C1090" s="2" t="str">
        <f t="shared" ref="C1090" si="277">"01ﾊ00703"</f>
        <v>01ﾊ00703</v>
      </c>
      <c r="D1090" s="2" t="str">
        <f t="shared" ref="D1090" si="278">"プリンタ"</f>
        <v>プリンタ</v>
      </c>
      <c r="E1090" s="3" t="str">
        <f>"ＣＡＮＯＮ　ＩｍａｇｅＰＲＯＧＨＲＡＦ　ｉＰＦ６８５"</f>
        <v>ＣＡＮＯＮ　ＩｍａｇｅＰＲＯＧＨＲＡＦ　ｉＰＦ６８５</v>
      </c>
      <c r="F1090" s="2" t="str">
        <f t="shared" si="255"/>
        <v>０００１</v>
      </c>
      <c r="G1090" s="2" t="str">
        <f>"4270003806"</f>
        <v>4270003806</v>
      </c>
      <c r="H1090" s="2" t="str">
        <f t="shared" ref="H1090:H1107" si="279">"001"</f>
        <v>001</v>
      </c>
      <c r="I1090" s="2" t="str">
        <f>"4280106"</f>
        <v>4280106</v>
      </c>
      <c r="J1090" s="2">
        <f>385000</f>
        <v>385000</v>
      </c>
      <c r="K1090" s="2" t="str">
        <f t="shared" ref="K1090:K1091" si="280">"台"</f>
        <v>台</v>
      </c>
      <c r="L1090" s="2" t="str">
        <f>"4280106"</f>
        <v>4280106</v>
      </c>
      <c r="M1090" s="2" t="str">
        <f>"4280106"</f>
        <v>4280106</v>
      </c>
    </row>
    <row r="1091" spans="1:13" x14ac:dyDescent="0.15">
      <c r="A1091" s="2" t="str">
        <f t="shared" si="275"/>
        <v>1881110500</v>
      </c>
      <c r="B1091" s="2" t="str">
        <f t="shared" si="276"/>
        <v>佐伯・区政調整</v>
      </c>
      <c r="C1091" s="2" t="str">
        <f>"01ﾊ00704"</f>
        <v>01ﾊ00704</v>
      </c>
      <c r="D1091" s="2" t="str">
        <f>"補助記憶装置"</f>
        <v>補助記憶装置</v>
      </c>
      <c r="E1091" s="3" t="str">
        <f>"㈱バッファロー製　ＴＳ３４１０ＤＮ０８０４"</f>
        <v>㈱バッファロー製　ＴＳ３４１０ＤＮ０８０４</v>
      </c>
      <c r="F1091" s="2" t="str">
        <f>"佐伯区民文化センター"</f>
        <v>佐伯区民文化センター</v>
      </c>
      <c r="G1091" s="2" t="str">
        <f>"4300003385"</f>
        <v>4300003385</v>
      </c>
      <c r="H1091" s="2" t="str">
        <f t="shared" si="279"/>
        <v>001</v>
      </c>
      <c r="I1091" s="2" t="str">
        <f>"4301212"</f>
        <v>4301212</v>
      </c>
      <c r="J1091" s="2">
        <f>105645</f>
        <v>105645</v>
      </c>
      <c r="K1091" s="2" t="str">
        <f t="shared" si="280"/>
        <v>台</v>
      </c>
      <c r="L1091" s="2" t="str">
        <f>"4301212"</f>
        <v>4301212</v>
      </c>
      <c r="M1091" s="2" t="str">
        <f>"4301212"</f>
        <v>4301212</v>
      </c>
    </row>
    <row r="1092" spans="1:13" x14ac:dyDescent="0.15">
      <c r="A1092" s="2" t="str">
        <f t="shared" si="275"/>
        <v>1881110500</v>
      </c>
      <c r="B1092" s="2" t="str">
        <f t="shared" si="276"/>
        <v>佐伯・区政調整</v>
      </c>
      <c r="C1092" s="2" t="str">
        <f>"01ﾊ00714"</f>
        <v>01ﾊ00714</v>
      </c>
      <c r="D1092" s="2" t="str">
        <f>"コネクタ"</f>
        <v>コネクタ</v>
      </c>
      <c r="E1092" s="3" t="str">
        <f>"ＣＡＮＡＲＥ　１２Ｊ１２Ｎ１２"</f>
        <v>ＣＡＮＡＲＥ　１２Ｊ１２Ｎ１２</v>
      </c>
      <c r="F1092" s="2" t="str">
        <f t="shared" ref="F1092:F1103" si="281">"０００１"</f>
        <v>０００１</v>
      </c>
      <c r="G1092" s="2" t="str">
        <f>"4240004824"</f>
        <v>4240004824</v>
      </c>
      <c r="H1092" s="2" t="str">
        <f t="shared" si="279"/>
        <v>001</v>
      </c>
      <c r="I1092" s="2" t="str">
        <f>"4250312"</f>
        <v>4250312</v>
      </c>
      <c r="J1092" s="2">
        <f>46410</f>
        <v>46410</v>
      </c>
      <c r="K1092" s="2" t="str">
        <f t="shared" ref="K1092:K1103" si="282">"個"</f>
        <v>個</v>
      </c>
      <c r="L1092" s="2" t="str">
        <f>"4250312"</f>
        <v>4250312</v>
      </c>
      <c r="M1092" s="2" t="str">
        <f>"4250312"</f>
        <v>4250312</v>
      </c>
    </row>
    <row r="1093" spans="1:13" x14ac:dyDescent="0.15">
      <c r="A1093" s="2" t="str">
        <f t="shared" si="275"/>
        <v>1881110500</v>
      </c>
      <c r="B1093" s="2" t="str">
        <f t="shared" si="276"/>
        <v>佐伯・区政調整</v>
      </c>
      <c r="C1093" s="2" t="str">
        <f t="shared" ref="C1093:C1103" si="283">"01ﾏ00101"</f>
        <v>01ﾏ00101</v>
      </c>
      <c r="D1093" s="2" t="str">
        <f t="shared" ref="D1093:D1103" si="284">"マイクロホンスタンド"</f>
        <v>マイクロホンスタンド</v>
      </c>
      <c r="E1093" s="3" t="str">
        <f>"床上マイクスタンドＭＦ‐１８ＴＭ"</f>
        <v>床上マイクスタンドＭＦ‐１８ＴＭ</v>
      </c>
      <c r="F1093" s="2" t="str">
        <f t="shared" si="281"/>
        <v>０００１</v>
      </c>
      <c r="G1093" s="2" t="str">
        <f>"3620004135"</f>
        <v>3620004135</v>
      </c>
      <c r="H1093" s="2" t="str">
        <f t="shared" si="279"/>
        <v>001</v>
      </c>
      <c r="I1093" s="2" t="str">
        <f t="shared" ref="I1093:I1103" si="285">"4100401"</f>
        <v>4100401</v>
      </c>
      <c r="J1093" s="2">
        <f>35100</f>
        <v>35100</v>
      </c>
      <c r="K1093" s="2" t="str">
        <f t="shared" si="282"/>
        <v>個</v>
      </c>
      <c r="L1093" s="2" t="str">
        <f t="shared" ref="L1093:L1103" si="286">"3630331"</f>
        <v>3630331</v>
      </c>
      <c r="M1093" s="2" t="str">
        <f>""</f>
        <v/>
      </c>
    </row>
    <row r="1094" spans="1:13" x14ac:dyDescent="0.15">
      <c r="A1094" s="2" t="str">
        <f t="shared" si="275"/>
        <v>1881110500</v>
      </c>
      <c r="B1094" s="2" t="str">
        <f t="shared" si="276"/>
        <v>佐伯・区政調整</v>
      </c>
      <c r="C1094" s="2" t="str">
        <f t="shared" si="283"/>
        <v>01ﾏ00101</v>
      </c>
      <c r="D1094" s="2" t="str">
        <f t="shared" si="284"/>
        <v>マイクロホンスタンド</v>
      </c>
      <c r="E1094" s="3" t="str">
        <f>"床上マイクスタンドＭＦ‐１８ＴＭ"</f>
        <v>床上マイクスタンドＭＦ‐１８ＴＭ</v>
      </c>
      <c r="F1094" s="2" t="str">
        <f t="shared" si="281"/>
        <v>０００１</v>
      </c>
      <c r="G1094" s="2" t="str">
        <f>"3620004136"</f>
        <v>3620004136</v>
      </c>
      <c r="H1094" s="2" t="str">
        <f t="shared" si="279"/>
        <v>001</v>
      </c>
      <c r="I1094" s="2" t="str">
        <f t="shared" si="285"/>
        <v>4100401</v>
      </c>
      <c r="J1094" s="2">
        <f>35100</f>
        <v>35100</v>
      </c>
      <c r="K1094" s="2" t="str">
        <f t="shared" si="282"/>
        <v>個</v>
      </c>
      <c r="L1094" s="2" t="str">
        <f t="shared" si="286"/>
        <v>3630331</v>
      </c>
      <c r="M1094" s="2" t="str">
        <f>""</f>
        <v/>
      </c>
    </row>
    <row r="1095" spans="1:13" x14ac:dyDescent="0.15">
      <c r="A1095" s="2" t="str">
        <f t="shared" si="275"/>
        <v>1881110500</v>
      </c>
      <c r="B1095" s="2" t="str">
        <f t="shared" si="276"/>
        <v>佐伯・区政調整</v>
      </c>
      <c r="C1095" s="2" t="str">
        <f t="shared" si="283"/>
        <v>01ﾏ00101</v>
      </c>
      <c r="D1095" s="2" t="str">
        <f t="shared" si="284"/>
        <v>マイクロホンスタンド</v>
      </c>
      <c r="E1095" s="3" t="str">
        <f>"床上マイクスタンドＭＦ‐１８ＴＭ"</f>
        <v>床上マイクスタンドＭＦ‐１８ＴＭ</v>
      </c>
      <c r="F1095" s="2" t="str">
        <f t="shared" si="281"/>
        <v>０００１</v>
      </c>
      <c r="G1095" s="2" t="str">
        <f>"3620004137"</f>
        <v>3620004137</v>
      </c>
      <c r="H1095" s="2" t="str">
        <f t="shared" si="279"/>
        <v>001</v>
      </c>
      <c r="I1095" s="2" t="str">
        <f t="shared" si="285"/>
        <v>4100401</v>
      </c>
      <c r="J1095" s="2">
        <f>35100</f>
        <v>35100</v>
      </c>
      <c r="K1095" s="2" t="str">
        <f t="shared" si="282"/>
        <v>個</v>
      </c>
      <c r="L1095" s="2" t="str">
        <f t="shared" si="286"/>
        <v>3630331</v>
      </c>
      <c r="M1095" s="2" t="str">
        <f>""</f>
        <v/>
      </c>
    </row>
    <row r="1096" spans="1:13" x14ac:dyDescent="0.15">
      <c r="A1096" s="2" t="str">
        <f t="shared" si="275"/>
        <v>1881110500</v>
      </c>
      <c r="B1096" s="2" t="str">
        <f t="shared" si="276"/>
        <v>佐伯・区政調整</v>
      </c>
      <c r="C1096" s="2" t="str">
        <f t="shared" si="283"/>
        <v>01ﾏ00101</v>
      </c>
      <c r="D1096" s="2" t="str">
        <f t="shared" si="284"/>
        <v>マイクロホンスタンド</v>
      </c>
      <c r="E1096" s="3" t="str">
        <f t="shared" ref="E1096:E1103" si="287">"床上マイクスタンドＭＦ‐３４Ｔ"</f>
        <v>床上マイクスタンドＭＦ‐３４Ｔ</v>
      </c>
      <c r="F1096" s="2" t="str">
        <f t="shared" si="281"/>
        <v>０００１</v>
      </c>
      <c r="G1096" s="2" t="str">
        <f>"3620004138"</f>
        <v>3620004138</v>
      </c>
      <c r="H1096" s="2" t="str">
        <f t="shared" si="279"/>
        <v>001</v>
      </c>
      <c r="I1096" s="2" t="str">
        <f t="shared" si="285"/>
        <v>4100401</v>
      </c>
      <c r="J1096" s="2">
        <f>38800</f>
        <v>38800</v>
      </c>
      <c r="K1096" s="2" t="str">
        <f t="shared" si="282"/>
        <v>個</v>
      </c>
      <c r="L1096" s="2" t="str">
        <f t="shared" si="286"/>
        <v>3630331</v>
      </c>
      <c r="M1096" s="2" t="str">
        <f>""</f>
        <v/>
      </c>
    </row>
    <row r="1097" spans="1:13" x14ac:dyDescent="0.15">
      <c r="A1097" s="2" t="str">
        <f t="shared" si="275"/>
        <v>1881110500</v>
      </c>
      <c r="B1097" s="2" t="str">
        <f t="shared" si="276"/>
        <v>佐伯・区政調整</v>
      </c>
      <c r="C1097" s="2" t="str">
        <f t="shared" si="283"/>
        <v>01ﾏ00101</v>
      </c>
      <c r="D1097" s="2" t="str">
        <f t="shared" si="284"/>
        <v>マイクロホンスタンド</v>
      </c>
      <c r="E1097" s="3" t="str">
        <f t="shared" si="287"/>
        <v>床上マイクスタンドＭＦ‐３４Ｔ</v>
      </c>
      <c r="F1097" s="2" t="str">
        <f t="shared" si="281"/>
        <v>０００１</v>
      </c>
      <c r="G1097" s="2" t="str">
        <f>"3620004139"</f>
        <v>3620004139</v>
      </c>
      <c r="H1097" s="2" t="str">
        <f t="shared" si="279"/>
        <v>001</v>
      </c>
      <c r="I1097" s="2" t="str">
        <f t="shared" si="285"/>
        <v>4100401</v>
      </c>
      <c r="J1097" s="2">
        <f>38800</f>
        <v>38800</v>
      </c>
      <c r="K1097" s="2" t="str">
        <f t="shared" si="282"/>
        <v>個</v>
      </c>
      <c r="L1097" s="2" t="str">
        <f t="shared" si="286"/>
        <v>3630331</v>
      </c>
      <c r="M1097" s="2" t="str">
        <f>""</f>
        <v/>
      </c>
    </row>
    <row r="1098" spans="1:13" x14ac:dyDescent="0.15">
      <c r="A1098" s="2" t="str">
        <f t="shared" si="275"/>
        <v>1881110500</v>
      </c>
      <c r="B1098" s="2" t="str">
        <f t="shared" si="276"/>
        <v>佐伯・区政調整</v>
      </c>
      <c r="C1098" s="2" t="str">
        <f t="shared" si="283"/>
        <v>01ﾏ00101</v>
      </c>
      <c r="D1098" s="2" t="str">
        <f t="shared" si="284"/>
        <v>マイクロホンスタンド</v>
      </c>
      <c r="E1098" s="3" t="str">
        <f t="shared" si="287"/>
        <v>床上マイクスタンドＭＦ‐３４Ｔ</v>
      </c>
      <c r="F1098" s="2" t="str">
        <f t="shared" si="281"/>
        <v>０００１</v>
      </c>
      <c r="G1098" s="2" t="str">
        <f>"3620004140"</f>
        <v>3620004140</v>
      </c>
      <c r="H1098" s="2" t="str">
        <f t="shared" si="279"/>
        <v>001</v>
      </c>
      <c r="I1098" s="2" t="str">
        <f t="shared" si="285"/>
        <v>4100401</v>
      </c>
      <c r="J1098" s="2">
        <f>38800</f>
        <v>38800</v>
      </c>
      <c r="K1098" s="2" t="str">
        <f t="shared" si="282"/>
        <v>個</v>
      </c>
      <c r="L1098" s="2" t="str">
        <f t="shared" si="286"/>
        <v>3630331</v>
      </c>
      <c r="M1098" s="2" t="str">
        <f>""</f>
        <v/>
      </c>
    </row>
    <row r="1099" spans="1:13" x14ac:dyDescent="0.15">
      <c r="A1099" s="2" t="str">
        <f t="shared" si="275"/>
        <v>1881110500</v>
      </c>
      <c r="B1099" s="2" t="str">
        <f t="shared" si="276"/>
        <v>佐伯・区政調整</v>
      </c>
      <c r="C1099" s="2" t="str">
        <f t="shared" si="283"/>
        <v>01ﾏ00101</v>
      </c>
      <c r="D1099" s="2" t="str">
        <f t="shared" si="284"/>
        <v>マイクロホンスタンド</v>
      </c>
      <c r="E1099" s="3" t="str">
        <f t="shared" si="287"/>
        <v>床上マイクスタンドＭＦ‐３４Ｔ</v>
      </c>
      <c r="F1099" s="2" t="str">
        <f t="shared" si="281"/>
        <v>０００１</v>
      </c>
      <c r="G1099" s="2" t="str">
        <f>"3620004141"</f>
        <v>3620004141</v>
      </c>
      <c r="H1099" s="2" t="str">
        <f t="shared" si="279"/>
        <v>001</v>
      </c>
      <c r="I1099" s="2" t="str">
        <f t="shared" si="285"/>
        <v>4100401</v>
      </c>
      <c r="J1099" s="2">
        <f>38800</f>
        <v>38800</v>
      </c>
      <c r="K1099" s="2" t="str">
        <f t="shared" si="282"/>
        <v>個</v>
      </c>
      <c r="L1099" s="2" t="str">
        <f t="shared" si="286"/>
        <v>3630331</v>
      </c>
      <c r="M1099" s="2" t="str">
        <f>""</f>
        <v/>
      </c>
    </row>
    <row r="1100" spans="1:13" x14ac:dyDescent="0.15">
      <c r="A1100" s="2" t="str">
        <f t="shared" si="275"/>
        <v>1881110500</v>
      </c>
      <c r="B1100" s="2" t="str">
        <f t="shared" si="276"/>
        <v>佐伯・区政調整</v>
      </c>
      <c r="C1100" s="2" t="str">
        <f t="shared" si="283"/>
        <v>01ﾏ00101</v>
      </c>
      <c r="D1100" s="2" t="str">
        <f t="shared" si="284"/>
        <v>マイクロホンスタンド</v>
      </c>
      <c r="E1100" s="3" t="str">
        <f t="shared" si="287"/>
        <v>床上マイクスタンドＭＦ‐３４Ｔ</v>
      </c>
      <c r="F1100" s="2" t="str">
        <f t="shared" si="281"/>
        <v>０００１</v>
      </c>
      <c r="G1100" s="2" t="str">
        <f>"3620004142"</f>
        <v>3620004142</v>
      </c>
      <c r="H1100" s="2" t="str">
        <f t="shared" si="279"/>
        <v>001</v>
      </c>
      <c r="I1100" s="2" t="str">
        <f t="shared" si="285"/>
        <v>4100401</v>
      </c>
      <c r="J1100" s="2">
        <f>38800</f>
        <v>38800</v>
      </c>
      <c r="K1100" s="2" t="str">
        <f t="shared" si="282"/>
        <v>個</v>
      </c>
      <c r="L1100" s="2" t="str">
        <f t="shared" si="286"/>
        <v>3630331</v>
      </c>
      <c r="M1100" s="2" t="str">
        <f>""</f>
        <v/>
      </c>
    </row>
    <row r="1101" spans="1:13" x14ac:dyDescent="0.15">
      <c r="A1101" s="2" t="str">
        <f t="shared" si="275"/>
        <v>1881110500</v>
      </c>
      <c r="B1101" s="2" t="str">
        <f t="shared" si="276"/>
        <v>佐伯・区政調整</v>
      </c>
      <c r="C1101" s="2" t="str">
        <f t="shared" si="283"/>
        <v>01ﾏ00101</v>
      </c>
      <c r="D1101" s="2" t="str">
        <f t="shared" si="284"/>
        <v>マイクロホンスタンド</v>
      </c>
      <c r="E1101" s="3" t="str">
        <f t="shared" si="287"/>
        <v>床上マイクスタンドＭＦ‐３４Ｔ</v>
      </c>
      <c r="F1101" s="2" t="str">
        <f t="shared" si="281"/>
        <v>０００１</v>
      </c>
      <c r="G1101" s="2" t="str">
        <f>"3620004143"</f>
        <v>3620004143</v>
      </c>
      <c r="H1101" s="2" t="str">
        <f t="shared" si="279"/>
        <v>001</v>
      </c>
      <c r="I1101" s="2" t="str">
        <f t="shared" si="285"/>
        <v>4100401</v>
      </c>
      <c r="J1101" s="2">
        <f>38800</f>
        <v>38800</v>
      </c>
      <c r="K1101" s="2" t="str">
        <f t="shared" si="282"/>
        <v>個</v>
      </c>
      <c r="L1101" s="2" t="str">
        <f t="shared" si="286"/>
        <v>3630331</v>
      </c>
      <c r="M1101" s="2" t="str">
        <f>""</f>
        <v/>
      </c>
    </row>
    <row r="1102" spans="1:13" x14ac:dyDescent="0.15">
      <c r="A1102" s="2" t="str">
        <f t="shared" si="275"/>
        <v>1881110500</v>
      </c>
      <c r="B1102" s="2" t="str">
        <f t="shared" si="276"/>
        <v>佐伯・区政調整</v>
      </c>
      <c r="C1102" s="2" t="str">
        <f t="shared" si="283"/>
        <v>01ﾏ00101</v>
      </c>
      <c r="D1102" s="2" t="str">
        <f t="shared" si="284"/>
        <v>マイクロホンスタンド</v>
      </c>
      <c r="E1102" s="3" t="str">
        <f t="shared" si="287"/>
        <v>床上マイクスタンドＭＦ‐３４Ｔ</v>
      </c>
      <c r="F1102" s="2" t="str">
        <f t="shared" si="281"/>
        <v>０００１</v>
      </c>
      <c r="G1102" s="2" t="str">
        <f>"3620004144"</f>
        <v>3620004144</v>
      </c>
      <c r="H1102" s="2" t="str">
        <f t="shared" si="279"/>
        <v>001</v>
      </c>
      <c r="I1102" s="2" t="str">
        <f t="shared" si="285"/>
        <v>4100401</v>
      </c>
      <c r="J1102" s="2">
        <f>38800</f>
        <v>38800</v>
      </c>
      <c r="K1102" s="2" t="str">
        <f t="shared" si="282"/>
        <v>個</v>
      </c>
      <c r="L1102" s="2" t="str">
        <f t="shared" si="286"/>
        <v>3630331</v>
      </c>
      <c r="M1102" s="2" t="str">
        <f>""</f>
        <v/>
      </c>
    </row>
    <row r="1103" spans="1:13" x14ac:dyDescent="0.15">
      <c r="A1103" s="2" t="str">
        <f t="shared" si="275"/>
        <v>1881110500</v>
      </c>
      <c r="B1103" s="2" t="str">
        <f t="shared" si="276"/>
        <v>佐伯・区政調整</v>
      </c>
      <c r="C1103" s="2" t="str">
        <f t="shared" si="283"/>
        <v>01ﾏ00101</v>
      </c>
      <c r="D1103" s="2" t="str">
        <f t="shared" si="284"/>
        <v>マイクロホンスタンド</v>
      </c>
      <c r="E1103" s="3" t="str">
        <f t="shared" si="287"/>
        <v>床上マイクスタンドＭＦ‐３４Ｔ</v>
      </c>
      <c r="F1103" s="2" t="str">
        <f t="shared" si="281"/>
        <v>０００１</v>
      </c>
      <c r="G1103" s="2" t="str">
        <f>"3620004145"</f>
        <v>3620004145</v>
      </c>
      <c r="H1103" s="2" t="str">
        <f t="shared" si="279"/>
        <v>001</v>
      </c>
      <c r="I1103" s="2" t="str">
        <f t="shared" si="285"/>
        <v>4100401</v>
      </c>
      <c r="J1103" s="2">
        <f>38800</f>
        <v>38800</v>
      </c>
      <c r="K1103" s="2" t="str">
        <f t="shared" si="282"/>
        <v>個</v>
      </c>
      <c r="L1103" s="2" t="str">
        <f t="shared" si="286"/>
        <v>3630331</v>
      </c>
      <c r="M1103" s="2" t="str">
        <f>""</f>
        <v/>
      </c>
    </row>
    <row r="1104" spans="1:13" x14ac:dyDescent="0.15">
      <c r="A1104" s="2" t="str">
        <f t="shared" si="275"/>
        <v>1881110500</v>
      </c>
      <c r="B1104" s="2" t="str">
        <f t="shared" si="276"/>
        <v>佐伯・区政調整</v>
      </c>
      <c r="C1104" s="2" t="str">
        <f>"02ｷ00101"</f>
        <v>02ｷ00101</v>
      </c>
      <c r="D1104" s="2" t="str">
        <f>"脚立"</f>
        <v>脚立</v>
      </c>
      <c r="E1104" s="3" t="str">
        <f>"はしご兼用"</f>
        <v>はしご兼用</v>
      </c>
      <c r="F1104" s="2" t="str">
        <f t="shared" ref="F1104:F1109" si="288">"０００１"</f>
        <v>０００１</v>
      </c>
      <c r="G1104" s="2" t="str">
        <f>"3620004147"</f>
        <v>3620004147</v>
      </c>
      <c r="H1104" s="2" t="str">
        <f t="shared" si="279"/>
        <v>001</v>
      </c>
      <c r="I1104" s="2" t="str">
        <f>"4100401"</f>
        <v>4100401</v>
      </c>
      <c r="J1104" s="2">
        <f>21200</f>
        <v>21200</v>
      </c>
      <c r="K1104" s="2" t="str">
        <f>"台"</f>
        <v>台</v>
      </c>
      <c r="L1104" s="2" t="str">
        <f>"3630331"</f>
        <v>3630331</v>
      </c>
      <c r="M1104" s="2" t="str">
        <f>""</f>
        <v/>
      </c>
    </row>
    <row r="1105" spans="1:13" x14ac:dyDescent="0.15">
      <c r="A1105" s="2" t="str">
        <f t="shared" si="275"/>
        <v>1881110500</v>
      </c>
      <c r="B1105" s="2" t="str">
        <f t="shared" si="276"/>
        <v>佐伯・区政調整</v>
      </c>
      <c r="C1105" s="2" t="str">
        <f>"02ｺ00601"</f>
        <v>02ｺ00601</v>
      </c>
      <c r="D1105" s="2" t="str">
        <f>"コードリール"</f>
        <v>コードリール</v>
      </c>
      <c r="E1105" s="3" t="str">
        <f>"ＣＡＮＡＲＥ　１２Ｒ３０－Ｅ３"</f>
        <v>ＣＡＮＡＲＥ　１２Ｒ３０－Ｅ３</v>
      </c>
      <c r="F1105" s="2" t="str">
        <f t="shared" si="288"/>
        <v>０００１</v>
      </c>
      <c r="G1105" s="2" t="str">
        <f>"4240004825"</f>
        <v>4240004825</v>
      </c>
      <c r="H1105" s="2" t="str">
        <f t="shared" si="279"/>
        <v>001</v>
      </c>
      <c r="I1105" s="2" t="str">
        <f>"4250312"</f>
        <v>4250312</v>
      </c>
      <c r="J1105" s="2">
        <f>133428</f>
        <v>133428</v>
      </c>
      <c r="K1105" s="2" t="str">
        <f>"個"</f>
        <v>個</v>
      </c>
      <c r="L1105" s="2" t="str">
        <f>"4250312"</f>
        <v>4250312</v>
      </c>
      <c r="M1105" s="2" t="str">
        <f>"4250312"</f>
        <v>4250312</v>
      </c>
    </row>
    <row r="1106" spans="1:13" x14ac:dyDescent="0.15">
      <c r="A1106" s="2" t="str">
        <f t="shared" si="275"/>
        <v>1881110500</v>
      </c>
      <c r="B1106" s="2" t="str">
        <f t="shared" si="276"/>
        <v>佐伯・区政調整</v>
      </c>
      <c r="C1106" s="2" t="str">
        <f>"02ﾀ00601"</f>
        <v>02ﾀ00601</v>
      </c>
      <c r="D1106" s="2" t="str">
        <f>"作業台"</f>
        <v>作業台</v>
      </c>
      <c r="E1106" s="3" t="str">
        <f>"Ｌ１‐４"</f>
        <v>Ｌ１‐４</v>
      </c>
      <c r="F1106" s="2" t="str">
        <f t="shared" si="288"/>
        <v>０００１</v>
      </c>
      <c r="G1106" s="2" t="str">
        <f>"3620004148"</f>
        <v>3620004148</v>
      </c>
      <c r="H1106" s="2" t="str">
        <f t="shared" si="279"/>
        <v>001</v>
      </c>
      <c r="I1106" s="2" t="str">
        <f t="shared" ref="I1106:I1115" si="289">"4100401"</f>
        <v>4100401</v>
      </c>
      <c r="J1106" s="2">
        <f>359000</f>
        <v>359000</v>
      </c>
      <c r="K1106" s="2" t="str">
        <f>"台"</f>
        <v>台</v>
      </c>
      <c r="L1106" s="2" t="str">
        <f>"3630331"</f>
        <v>3630331</v>
      </c>
      <c r="M1106" s="2" t="str">
        <f>""</f>
        <v/>
      </c>
    </row>
    <row r="1107" spans="1:13" x14ac:dyDescent="0.15">
      <c r="A1107" s="2" t="str">
        <f t="shared" si="275"/>
        <v>1881110500</v>
      </c>
      <c r="B1107" s="2" t="str">
        <f t="shared" si="276"/>
        <v>佐伯・区政調整</v>
      </c>
      <c r="C1107" s="2" t="str">
        <f>"02ﾓ00201"</f>
        <v>02ﾓ00201</v>
      </c>
      <c r="D1107" s="2" t="str">
        <f>"木工セット"</f>
        <v>木工セット</v>
      </c>
      <c r="E1107" s="3" t="str">
        <f>"木工用工具（電動）"</f>
        <v>木工用工具（電動）</v>
      </c>
      <c r="F1107" s="2" t="str">
        <f t="shared" si="288"/>
        <v>０００１</v>
      </c>
      <c r="G1107" s="2" t="str">
        <f>"3620004149"</f>
        <v>3620004149</v>
      </c>
      <c r="H1107" s="2" t="str">
        <f t="shared" si="279"/>
        <v>001</v>
      </c>
      <c r="I1107" s="2" t="str">
        <f t="shared" si="289"/>
        <v>4100401</v>
      </c>
      <c r="J1107" s="2">
        <f>42000</f>
        <v>42000</v>
      </c>
      <c r="K1107" s="2" t="str">
        <f>"組"</f>
        <v>組</v>
      </c>
      <c r="L1107" s="2" t="str">
        <f>"3630331"</f>
        <v>3630331</v>
      </c>
      <c r="M1107" s="2" t="str">
        <f>""</f>
        <v/>
      </c>
    </row>
    <row r="1108" spans="1:13" x14ac:dyDescent="0.15">
      <c r="A1108" s="2" t="str">
        <f t="shared" si="275"/>
        <v>1881110500</v>
      </c>
      <c r="B1108" s="2" t="str">
        <f t="shared" si="276"/>
        <v>佐伯・区政調整</v>
      </c>
      <c r="C1108" s="2" t="str">
        <f>"02ﾓ00201"</f>
        <v>02ﾓ00201</v>
      </c>
      <c r="D1108" s="2" t="str">
        <f>"木工セット"</f>
        <v>木工セット</v>
      </c>
      <c r="E1108" s="3" t="str">
        <f>"木工用工具（電動）"</f>
        <v>木工用工具（電動）</v>
      </c>
      <c r="F1108" s="2" t="str">
        <f t="shared" si="288"/>
        <v>０００１</v>
      </c>
      <c r="G1108" s="2" t="str">
        <f>"3620004150"</f>
        <v>3620004150</v>
      </c>
      <c r="H1108" s="2" t="str">
        <f t="shared" ref="H1108:H1116" si="290">"001"</f>
        <v>001</v>
      </c>
      <c r="I1108" s="2" t="str">
        <f t="shared" si="289"/>
        <v>4100401</v>
      </c>
      <c r="J1108" s="2">
        <f>42000</f>
        <v>42000</v>
      </c>
      <c r="K1108" s="2" t="str">
        <f>"組"</f>
        <v>組</v>
      </c>
      <c r="L1108" s="2" t="str">
        <f>"3630331"</f>
        <v>3630331</v>
      </c>
      <c r="M1108" s="2" t="str">
        <f>""</f>
        <v/>
      </c>
    </row>
    <row r="1109" spans="1:13" x14ac:dyDescent="0.15">
      <c r="A1109" s="2" t="str">
        <f t="shared" si="275"/>
        <v>1881110500</v>
      </c>
      <c r="B1109" s="2" t="str">
        <f t="shared" si="276"/>
        <v>佐伯・区政調整</v>
      </c>
      <c r="C1109" s="2" t="str">
        <f>"02ﾓ00201"</f>
        <v>02ﾓ00201</v>
      </c>
      <c r="D1109" s="2" t="str">
        <f>"木工セット"</f>
        <v>木工セット</v>
      </c>
      <c r="E1109" s="3" t="str">
        <f>"木工用工具（電動）"</f>
        <v>木工用工具（電動）</v>
      </c>
      <c r="F1109" s="2" t="str">
        <f t="shared" si="288"/>
        <v>０００１</v>
      </c>
      <c r="G1109" s="2" t="str">
        <f>"3620004151"</f>
        <v>3620004151</v>
      </c>
      <c r="H1109" s="2" t="str">
        <f t="shared" si="290"/>
        <v>001</v>
      </c>
      <c r="I1109" s="2" t="str">
        <f t="shared" si="289"/>
        <v>4100401</v>
      </c>
      <c r="J1109" s="2">
        <f>42000</f>
        <v>42000</v>
      </c>
      <c r="K1109" s="2" t="str">
        <f>"組"</f>
        <v>組</v>
      </c>
      <c r="L1109" s="2" t="str">
        <f>"3630331"</f>
        <v>3630331</v>
      </c>
      <c r="M1109" s="2" t="str">
        <f>""</f>
        <v/>
      </c>
    </row>
    <row r="1110" spans="1:13" x14ac:dyDescent="0.15">
      <c r="A1110" s="2" t="str">
        <f t="shared" si="275"/>
        <v>1881110500</v>
      </c>
      <c r="B1110" s="2" t="str">
        <f t="shared" si="276"/>
        <v>佐伯・区政調整</v>
      </c>
      <c r="C1110" s="2" t="str">
        <f t="shared" ref="C1110:C1115" si="291">"03ｴ00101"</f>
        <v>03ｴ00101</v>
      </c>
      <c r="D1110" s="2" t="str">
        <f t="shared" ref="D1110:D1115" si="292">"映写機"</f>
        <v>映写機</v>
      </c>
      <c r="E1110" s="3" t="str">
        <f>"３５ｍ／ｍ"</f>
        <v>３５ｍ／ｍ</v>
      </c>
      <c r="F1110" s="2" t="str">
        <f t="shared" ref="F1110:F1115" si="293">"０００１"</f>
        <v>０００１</v>
      </c>
      <c r="G1110" s="2" t="str">
        <f>"3620004152"</f>
        <v>3620004152</v>
      </c>
      <c r="H1110" s="2" t="str">
        <f t="shared" si="290"/>
        <v>001</v>
      </c>
      <c r="I1110" s="2" t="str">
        <f t="shared" si="289"/>
        <v>4100401</v>
      </c>
      <c r="J1110" s="2">
        <f>7330000</f>
        <v>7330000</v>
      </c>
      <c r="K1110" s="2" t="str">
        <f t="shared" ref="K1110:K1115" si="294">"台"</f>
        <v>台</v>
      </c>
      <c r="L1110" s="2" t="str">
        <f t="shared" ref="L1110:L1115" si="295">"3630331"</f>
        <v>3630331</v>
      </c>
      <c r="M1110" s="2" t="str">
        <f>""</f>
        <v/>
      </c>
    </row>
    <row r="1111" spans="1:13" x14ac:dyDescent="0.15">
      <c r="A1111" s="2" t="str">
        <f t="shared" ref="A1111:A1165" si="296">"1881110500"</f>
        <v>1881110500</v>
      </c>
      <c r="B1111" s="2" t="str">
        <f t="shared" ref="B1111:B1165" si="297">"佐伯・区政調整"</f>
        <v>佐伯・区政調整</v>
      </c>
      <c r="C1111" s="2" t="str">
        <f t="shared" si="291"/>
        <v>03ｴ00101</v>
      </c>
      <c r="D1111" s="2" t="str">
        <f t="shared" si="292"/>
        <v>映写機</v>
      </c>
      <c r="E1111" s="3" t="str">
        <f>"１６ｍ／ｍ"</f>
        <v>１６ｍ／ｍ</v>
      </c>
      <c r="F1111" s="2" t="str">
        <f t="shared" si="293"/>
        <v>０００１</v>
      </c>
      <c r="G1111" s="2" t="str">
        <f>"3620004153"</f>
        <v>3620004153</v>
      </c>
      <c r="H1111" s="2" t="str">
        <f t="shared" si="290"/>
        <v>001</v>
      </c>
      <c r="I1111" s="2" t="str">
        <f t="shared" si="289"/>
        <v>4100401</v>
      </c>
      <c r="J1111" s="2">
        <f>561000</f>
        <v>561000</v>
      </c>
      <c r="K1111" s="2" t="str">
        <f t="shared" si="294"/>
        <v>台</v>
      </c>
      <c r="L1111" s="2" t="str">
        <f t="shared" si="295"/>
        <v>3630331</v>
      </c>
      <c r="M1111" s="2" t="str">
        <f>""</f>
        <v/>
      </c>
    </row>
    <row r="1112" spans="1:13" x14ac:dyDescent="0.15">
      <c r="A1112" s="2" t="str">
        <f t="shared" si="296"/>
        <v>1881110500</v>
      </c>
      <c r="B1112" s="2" t="str">
        <f t="shared" si="297"/>
        <v>佐伯・区政調整</v>
      </c>
      <c r="C1112" s="2" t="str">
        <f t="shared" si="291"/>
        <v>03ｴ00101</v>
      </c>
      <c r="D1112" s="2" t="str">
        <f t="shared" si="292"/>
        <v>映写機</v>
      </c>
      <c r="E1112" s="3" t="str">
        <f>"スライド用"</f>
        <v>スライド用</v>
      </c>
      <c r="F1112" s="2" t="str">
        <f t="shared" si="293"/>
        <v>０００１</v>
      </c>
      <c r="G1112" s="2" t="str">
        <f>"3620004154"</f>
        <v>3620004154</v>
      </c>
      <c r="H1112" s="2" t="str">
        <f t="shared" si="290"/>
        <v>001</v>
      </c>
      <c r="I1112" s="2" t="str">
        <f t="shared" si="289"/>
        <v>4100401</v>
      </c>
      <c r="J1112" s="2">
        <f>780000</f>
        <v>780000</v>
      </c>
      <c r="K1112" s="2" t="str">
        <f t="shared" si="294"/>
        <v>台</v>
      </c>
      <c r="L1112" s="2" t="str">
        <f t="shared" si="295"/>
        <v>3630331</v>
      </c>
      <c r="M1112" s="2" t="str">
        <f>""</f>
        <v/>
      </c>
    </row>
    <row r="1113" spans="1:13" x14ac:dyDescent="0.15">
      <c r="A1113" s="2" t="str">
        <f t="shared" si="296"/>
        <v>1881110500</v>
      </c>
      <c r="B1113" s="2" t="str">
        <f t="shared" si="297"/>
        <v>佐伯・区政調整</v>
      </c>
      <c r="C1113" s="2" t="str">
        <f t="shared" si="291"/>
        <v>03ｴ00101</v>
      </c>
      <c r="D1113" s="2" t="str">
        <f t="shared" si="292"/>
        <v>映写機</v>
      </c>
      <c r="E1113" s="3" t="str">
        <f>"１６ｍ／ｍキャスター式"</f>
        <v>１６ｍ／ｍキャスター式</v>
      </c>
      <c r="F1113" s="2" t="str">
        <f t="shared" si="293"/>
        <v>０００１</v>
      </c>
      <c r="G1113" s="2" t="str">
        <f>"3620004155"</f>
        <v>3620004155</v>
      </c>
      <c r="H1113" s="2" t="str">
        <f t="shared" si="290"/>
        <v>001</v>
      </c>
      <c r="I1113" s="2" t="str">
        <f t="shared" si="289"/>
        <v>4100401</v>
      </c>
      <c r="J1113" s="2">
        <f>573000</f>
        <v>573000</v>
      </c>
      <c r="K1113" s="2" t="str">
        <f t="shared" si="294"/>
        <v>台</v>
      </c>
      <c r="L1113" s="2" t="str">
        <f t="shared" si="295"/>
        <v>3630331</v>
      </c>
      <c r="M1113" s="2" t="str">
        <f>""</f>
        <v/>
      </c>
    </row>
    <row r="1114" spans="1:13" x14ac:dyDescent="0.15">
      <c r="A1114" s="2" t="str">
        <f t="shared" si="296"/>
        <v>1881110500</v>
      </c>
      <c r="B1114" s="2" t="str">
        <f t="shared" si="297"/>
        <v>佐伯・区政調整</v>
      </c>
      <c r="C1114" s="2" t="str">
        <f t="shared" si="291"/>
        <v>03ｴ00101</v>
      </c>
      <c r="D1114" s="2" t="str">
        <f t="shared" si="292"/>
        <v>映写機</v>
      </c>
      <c r="E1114" s="3" t="str">
        <f>"８ｍ／ｍキャスター式"</f>
        <v>８ｍ／ｍキャスター式</v>
      </c>
      <c r="F1114" s="2" t="str">
        <f t="shared" si="293"/>
        <v>０００１</v>
      </c>
      <c r="G1114" s="2" t="str">
        <f>"3620004156"</f>
        <v>3620004156</v>
      </c>
      <c r="H1114" s="2" t="str">
        <f t="shared" si="290"/>
        <v>001</v>
      </c>
      <c r="I1114" s="2" t="str">
        <f t="shared" si="289"/>
        <v>4100401</v>
      </c>
      <c r="J1114" s="2">
        <f>280000</f>
        <v>280000</v>
      </c>
      <c r="K1114" s="2" t="str">
        <f t="shared" si="294"/>
        <v>台</v>
      </c>
      <c r="L1114" s="2" t="str">
        <f t="shared" si="295"/>
        <v>3630331</v>
      </c>
      <c r="M1114" s="2" t="str">
        <f>""</f>
        <v/>
      </c>
    </row>
    <row r="1115" spans="1:13" x14ac:dyDescent="0.15">
      <c r="A1115" s="2" t="str">
        <f t="shared" si="296"/>
        <v>1881110500</v>
      </c>
      <c r="B1115" s="2" t="str">
        <f t="shared" si="297"/>
        <v>佐伯・区政調整</v>
      </c>
      <c r="C1115" s="2" t="str">
        <f t="shared" si="291"/>
        <v>03ｴ00101</v>
      </c>
      <c r="D1115" s="2" t="str">
        <f t="shared" si="292"/>
        <v>映写機</v>
      </c>
      <c r="E1115" s="3" t="str">
        <f>"スライド"</f>
        <v>スライド</v>
      </c>
      <c r="F1115" s="2" t="str">
        <f t="shared" si="293"/>
        <v>０００１</v>
      </c>
      <c r="G1115" s="2" t="str">
        <f>"3620004157"</f>
        <v>3620004157</v>
      </c>
      <c r="H1115" s="2" t="str">
        <f t="shared" si="290"/>
        <v>001</v>
      </c>
      <c r="I1115" s="2" t="str">
        <f t="shared" si="289"/>
        <v>4100401</v>
      </c>
      <c r="J1115" s="2">
        <f>208000</f>
        <v>208000</v>
      </c>
      <c r="K1115" s="2" t="str">
        <f t="shared" si="294"/>
        <v>台</v>
      </c>
      <c r="L1115" s="2" t="str">
        <f t="shared" si="295"/>
        <v>3630331</v>
      </c>
      <c r="M1115" s="2" t="str">
        <f>""</f>
        <v/>
      </c>
    </row>
    <row r="1116" spans="1:13" x14ac:dyDescent="0.15">
      <c r="A1116" s="2" t="str">
        <f t="shared" si="296"/>
        <v>1881110500</v>
      </c>
      <c r="B1116" s="2" t="str">
        <f t="shared" si="297"/>
        <v>佐伯・区政調整</v>
      </c>
      <c r="C1116" s="2" t="str">
        <f>"03ｼ00101"</f>
        <v>03ｼ00101</v>
      </c>
      <c r="D1116" s="2" t="str">
        <f>"写真機"</f>
        <v>写真機</v>
      </c>
      <c r="E1116" s="3" t="str">
        <f>"ニコン　Ｆ‐５０１ＡＦ‐式"</f>
        <v>ニコン　Ｆ‐５０１ＡＦ‐式</v>
      </c>
      <c r="F1116" s="2" t="str">
        <f>"０００１"</f>
        <v>０００１</v>
      </c>
      <c r="G1116" s="2" t="str">
        <f>"3620004158"</f>
        <v>3620004158</v>
      </c>
      <c r="H1116" s="2" t="str">
        <f t="shared" si="290"/>
        <v>001</v>
      </c>
      <c r="I1116" s="2" t="str">
        <f>"4100401"</f>
        <v>4100401</v>
      </c>
      <c r="J1116" s="2">
        <f>115500</f>
        <v>115500</v>
      </c>
      <c r="K1116" s="2" t="str">
        <f t="shared" ref="K1116:K1144" si="298">"個"</f>
        <v>個</v>
      </c>
      <c r="L1116" s="2" t="str">
        <f>"3630322"</f>
        <v>3630322</v>
      </c>
      <c r="M1116" s="2" t="str">
        <f>""</f>
        <v/>
      </c>
    </row>
    <row r="1117" spans="1:13" s="1" customFormat="1" x14ac:dyDescent="0.15">
      <c r="A1117" s="3" t="str">
        <f t="shared" si="296"/>
        <v>1881110500</v>
      </c>
      <c r="B1117" s="3" t="str">
        <f t="shared" si="297"/>
        <v>佐伯・区政調整</v>
      </c>
      <c r="C1117" s="3" t="str">
        <f>"03ｼ00101"</f>
        <v>03ｼ00101</v>
      </c>
      <c r="D1117" s="3" t="str">
        <f>"写真機"</f>
        <v>写真機</v>
      </c>
      <c r="E1117" s="3" t="str">
        <f>"パナソニック　ＤＭＣ－ＧＦ７Ｗ"</f>
        <v>パナソニック　ＤＭＣ－ＧＦ７Ｗ</v>
      </c>
      <c r="F1117" s="3" t="str">
        <f>"００１"</f>
        <v>００１</v>
      </c>
      <c r="G1117" s="3" t="str">
        <f>"4300004423"</f>
        <v>4300004423</v>
      </c>
      <c r="H1117" s="3" t="str">
        <f t="shared" ref="H1117:H1148" si="299">"001"</f>
        <v>001</v>
      </c>
      <c r="I1117" s="3" t="str">
        <f>"4300401"</f>
        <v>4300401</v>
      </c>
      <c r="J1117" s="3">
        <f>75212</f>
        <v>75212</v>
      </c>
      <c r="K1117" s="3" t="str">
        <f t="shared" si="298"/>
        <v>個</v>
      </c>
      <c r="L1117" s="3" t="str">
        <f>"4300401"</f>
        <v>4300401</v>
      </c>
      <c r="M1117" s="3" t="str">
        <f>"4300401"</f>
        <v>4300401</v>
      </c>
    </row>
    <row r="1118" spans="1:13" x14ac:dyDescent="0.15">
      <c r="A1118" s="2" t="str">
        <f t="shared" si="296"/>
        <v>1881110500</v>
      </c>
      <c r="B1118" s="2" t="str">
        <f t="shared" si="297"/>
        <v>佐伯・区政調整</v>
      </c>
      <c r="C1118" s="2" t="str">
        <f t="shared" ref="C1118:C1149" si="300">"03ｼ00703"</f>
        <v>03ｼ00703</v>
      </c>
      <c r="D1118" s="2" t="str">
        <f t="shared" ref="D1118:D1149" si="301">"スポットライト"</f>
        <v>スポットライト</v>
      </c>
      <c r="E1118" s="3" t="str">
        <f t="shared" ref="E1118:E1127" si="302">"ストリップライト　４灯"</f>
        <v>ストリップライト　４灯</v>
      </c>
      <c r="F1118" s="2" t="str">
        <f t="shared" ref="F1118:F1149" si="303">"０００１"</f>
        <v>０００１</v>
      </c>
      <c r="G1118" s="2" t="str">
        <f>"3620004160"</f>
        <v>3620004160</v>
      </c>
      <c r="H1118" s="2" t="str">
        <f t="shared" si="299"/>
        <v>001</v>
      </c>
      <c r="I1118" s="2" t="str">
        <f t="shared" ref="I1118:I1149" si="304">"4100401"</f>
        <v>4100401</v>
      </c>
      <c r="J1118" s="2">
        <f>21200</f>
        <v>21200</v>
      </c>
      <c r="K1118" s="2" t="str">
        <f t="shared" si="298"/>
        <v>個</v>
      </c>
      <c r="L1118" s="2" t="str">
        <f t="shared" ref="L1118:L1160" si="305">"3630331"</f>
        <v>3630331</v>
      </c>
      <c r="M1118" s="2" t="str">
        <f>""</f>
        <v/>
      </c>
    </row>
    <row r="1119" spans="1:13" x14ac:dyDescent="0.15">
      <c r="A1119" s="2" t="str">
        <f t="shared" si="296"/>
        <v>1881110500</v>
      </c>
      <c r="B1119" s="2" t="str">
        <f t="shared" si="297"/>
        <v>佐伯・区政調整</v>
      </c>
      <c r="C1119" s="2" t="str">
        <f t="shared" si="300"/>
        <v>03ｼ00703</v>
      </c>
      <c r="D1119" s="2" t="str">
        <f t="shared" si="301"/>
        <v>スポットライト</v>
      </c>
      <c r="E1119" s="3" t="str">
        <f t="shared" si="302"/>
        <v>ストリップライト　４灯</v>
      </c>
      <c r="F1119" s="2" t="str">
        <f t="shared" si="303"/>
        <v>０００１</v>
      </c>
      <c r="G1119" s="2" t="str">
        <f>"3620004161"</f>
        <v>3620004161</v>
      </c>
      <c r="H1119" s="2" t="str">
        <f t="shared" si="299"/>
        <v>001</v>
      </c>
      <c r="I1119" s="2" t="str">
        <f t="shared" si="304"/>
        <v>4100401</v>
      </c>
      <c r="J1119" s="2">
        <f>21200</f>
        <v>21200</v>
      </c>
      <c r="K1119" s="2" t="str">
        <f t="shared" si="298"/>
        <v>個</v>
      </c>
      <c r="L1119" s="2" t="str">
        <f t="shared" si="305"/>
        <v>3630331</v>
      </c>
      <c r="M1119" s="2" t="str">
        <f>""</f>
        <v/>
      </c>
    </row>
    <row r="1120" spans="1:13" x14ac:dyDescent="0.15">
      <c r="A1120" s="2" t="str">
        <f t="shared" si="296"/>
        <v>1881110500</v>
      </c>
      <c r="B1120" s="2" t="str">
        <f t="shared" si="297"/>
        <v>佐伯・区政調整</v>
      </c>
      <c r="C1120" s="2" t="str">
        <f t="shared" si="300"/>
        <v>03ｼ00703</v>
      </c>
      <c r="D1120" s="2" t="str">
        <f t="shared" si="301"/>
        <v>スポットライト</v>
      </c>
      <c r="E1120" s="3" t="str">
        <f t="shared" si="302"/>
        <v>ストリップライト　４灯</v>
      </c>
      <c r="F1120" s="2" t="str">
        <f t="shared" si="303"/>
        <v>０００１</v>
      </c>
      <c r="G1120" s="2" t="str">
        <f>"3620004162"</f>
        <v>3620004162</v>
      </c>
      <c r="H1120" s="2" t="str">
        <f t="shared" si="299"/>
        <v>001</v>
      </c>
      <c r="I1120" s="2" t="str">
        <f t="shared" si="304"/>
        <v>4100401</v>
      </c>
      <c r="J1120" s="2">
        <f>21200</f>
        <v>21200</v>
      </c>
      <c r="K1120" s="2" t="str">
        <f t="shared" si="298"/>
        <v>個</v>
      </c>
      <c r="L1120" s="2" t="str">
        <f t="shared" si="305"/>
        <v>3630331</v>
      </c>
      <c r="M1120" s="2" t="str">
        <f>""</f>
        <v/>
      </c>
    </row>
    <row r="1121" spans="1:13" x14ac:dyDescent="0.15">
      <c r="A1121" s="2" t="str">
        <f t="shared" si="296"/>
        <v>1881110500</v>
      </c>
      <c r="B1121" s="2" t="str">
        <f t="shared" si="297"/>
        <v>佐伯・区政調整</v>
      </c>
      <c r="C1121" s="2" t="str">
        <f t="shared" si="300"/>
        <v>03ｼ00703</v>
      </c>
      <c r="D1121" s="2" t="str">
        <f t="shared" si="301"/>
        <v>スポットライト</v>
      </c>
      <c r="E1121" s="3" t="str">
        <f t="shared" si="302"/>
        <v>ストリップライト　４灯</v>
      </c>
      <c r="F1121" s="2" t="str">
        <f t="shared" si="303"/>
        <v>０００１</v>
      </c>
      <c r="G1121" s="2" t="str">
        <f>"3620004163"</f>
        <v>3620004163</v>
      </c>
      <c r="H1121" s="2" t="str">
        <f t="shared" si="299"/>
        <v>001</v>
      </c>
      <c r="I1121" s="2" t="str">
        <f t="shared" si="304"/>
        <v>4100401</v>
      </c>
      <c r="J1121" s="2">
        <f>21200</f>
        <v>21200</v>
      </c>
      <c r="K1121" s="2" t="str">
        <f t="shared" si="298"/>
        <v>個</v>
      </c>
      <c r="L1121" s="2" t="str">
        <f t="shared" si="305"/>
        <v>3630331</v>
      </c>
      <c r="M1121" s="2" t="str">
        <f>""</f>
        <v/>
      </c>
    </row>
    <row r="1122" spans="1:13" x14ac:dyDescent="0.15">
      <c r="A1122" s="2" t="str">
        <f t="shared" si="296"/>
        <v>1881110500</v>
      </c>
      <c r="B1122" s="2" t="str">
        <f t="shared" si="297"/>
        <v>佐伯・区政調整</v>
      </c>
      <c r="C1122" s="2" t="str">
        <f t="shared" si="300"/>
        <v>03ｼ00703</v>
      </c>
      <c r="D1122" s="2" t="str">
        <f t="shared" si="301"/>
        <v>スポットライト</v>
      </c>
      <c r="E1122" s="3" t="str">
        <f t="shared" si="302"/>
        <v>ストリップライト　４灯</v>
      </c>
      <c r="F1122" s="2" t="str">
        <f t="shared" si="303"/>
        <v>０００１</v>
      </c>
      <c r="G1122" s="2" t="str">
        <f>"3620004164"</f>
        <v>3620004164</v>
      </c>
      <c r="H1122" s="2" t="str">
        <f t="shared" si="299"/>
        <v>001</v>
      </c>
      <c r="I1122" s="2" t="str">
        <f t="shared" si="304"/>
        <v>4100401</v>
      </c>
      <c r="J1122" s="2">
        <f>21200</f>
        <v>21200</v>
      </c>
      <c r="K1122" s="2" t="str">
        <f t="shared" si="298"/>
        <v>個</v>
      </c>
      <c r="L1122" s="2" t="str">
        <f t="shared" si="305"/>
        <v>3630331</v>
      </c>
      <c r="M1122" s="2" t="str">
        <f>""</f>
        <v/>
      </c>
    </row>
    <row r="1123" spans="1:13" x14ac:dyDescent="0.15">
      <c r="A1123" s="2" t="str">
        <f t="shared" si="296"/>
        <v>1881110500</v>
      </c>
      <c r="B1123" s="2" t="str">
        <f t="shared" si="297"/>
        <v>佐伯・区政調整</v>
      </c>
      <c r="C1123" s="2" t="str">
        <f t="shared" si="300"/>
        <v>03ｼ00703</v>
      </c>
      <c r="D1123" s="2" t="str">
        <f t="shared" si="301"/>
        <v>スポットライト</v>
      </c>
      <c r="E1123" s="3" t="str">
        <f t="shared" si="302"/>
        <v>ストリップライト　４灯</v>
      </c>
      <c r="F1123" s="2" t="str">
        <f t="shared" si="303"/>
        <v>０００１</v>
      </c>
      <c r="G1123" s="2" t="str">
        <f>"3620004165"</f>
        <v>3620004165</v>
      </c>
      <c r="H1123" s="2" t="str">
        <f t="shared" si="299"/>
        <v>001</v>
      </c>
      <c r="I1123" s="2" t="str">
        <f t="shared" si="304"/>
        <v>4100401</v>
      </c>
      <c r="J1123" s="2">
        <f>21200</f>
        <v>21200</v>
      </c>
      <c r="K1123" s="2" t="str">
        <f t="shared" si="298"/>
        <v>個</v>
      </c>
      <c r="L1123" s="2" t="str">
        <f t="shared" si="305"/>
        <v>3630331</v>
      </c>
      <c r="M1123" s="2" t="str">
        <f>""</f>
        <v/>
      </c>
    </row>
    <row r="1124" spans="1:13" x14ac:dyDescent="0.15">
      <c r="A1124" s="2" t="str">
        <f t="shared" si="296"/>
        <v>1881110500</v>
      </c>
      <c r="B1124" s="2" t="str">
        <f t="shared" si="297"/>
        <v>佐伯・区政調整</v>
      </c>
      <c r="C1124" s="2" t="str">
        <f t="shared" si="300"/>
        <v>03ｼ00703</v>
      </c>
      <c r="D1124" s="2" t="str">
        <f t="shared" si="301"/>
        <v>スポットライト</v>
      </c>
      <c r="E1124" s="3" t="str">
        <f t="shared" si="302"/>
        <v>ストリップライト　４灯</v>
      </c>
      <c r="F1124" s="2" t="str">
        <f t="shared" si="303"/>
        <v>０００１</v>
      </c>
      <c r="G1124" s="2" t="str">
        <f>"3620004166"</f>
        <v>3620004166</v>
      </c>
      <c r="H1124" s="2" t="str">
        <f t="shared" si="299"/>
        <v>001</v>
      </c>
      <c r="I1124" s="2" t="str">
        <f t="shared" si="304"/>
        <v>4100401</v>
      </c>
      <c r="J1124" s="2">
        <f>21200</f>
        <v>21200</v>
      </c>
      <c r="K1124" s="2" t="str">
        <f t="shared" si="298"/>
        <v>個</v>
      </c>
      <c r="L1124" s="2" t="str">
        <f t="shared" si="305"/>
        <v>3630331</v>
      </c>
      <c r="M1124" s="2" t="str">
        <f>""</f>
        <v/>
      </c>
    </row>
    <row r="1125" spans="1:13" x14ac:dyDescent="0.15">
      <c r="A1125" s="2" t="str">
        <f t="shared" si="296"/>
        <v>1881110500</v>
      </c>
      <c r="B1125" s="2" t="str">
        <f t="shared" si="297"/>
        <v>佐伯・区政調整</v>
      </c>
      <c r="C1125" s="2" t="str">
        <f t="shared" si="300"/>
        <v>03ｼ00703</v>
      </c>
      <c r="D1125" s="2" t="str">
        <f t="shared" si="301"/>
        <v>スポットライト</v>
      </c>
      <c r="E1125" s="3" t="str">
        <f t="shared" si="302"/>
        <v>ストリップライト　４灯</v>
      </c>
      <c r="F1125" s="2" t="str">
        <f t="shared" si="303"/>
        <v>０００１</v>
      </c>
      <c r="G1125" s="2" t="str">
        <f>"3620004167"</f>
        <v>3620004167</v>
      </c>
      <c r="H1125" s="2" t="str">
        <f t="shared" si="299"/>
        <v>001</v>
      </c>
      <c r="I1125" s="2" t="str">
        <f t="shared" si="304"/>
        <v>4100401</v>
      </c>
      <c r="J1125" s="2">
        <f>21200</f>
        <v>21200</v>
      </c>
      <c r="K1125" s="2" t="str">
        <f t="shared" si="298"/>
        <v>個</v>
      </c>
      <c r="L1125" s="2" t="str">
        <f t="shared" si="305"/>
        <v>3630331</v>
      </c>
      <c r="M1125" s="2" t="str">
        <f>""</f>
        <v/>
      </c>
    </row>
    <row r="1126" spans="1:13" x14ac:dyDescent="0.15">
      <c r="A1126" s="2" t="str">
        <f t="shared" si="296"/>
        <v>1881110500</v>
      </c>
      <c r="B1126" s="2" t="str">
        <f t="shared" si="297"/>
        <v>佐伯・区政調整</v>
      </c>
      <c r="C1126" s="2" t="str">
        <f t="shared" si="300"/>
        <v>03ｼ00703</v>
      </c>
      <c r="D1126" s="2" t="str">
        <f t="shared" si="301"/>
        <v>スポットライト</v>
      </c>
      <c r="E1126" s="3" t="str">
        <f t="shared" si="302"/>
        <v>ストリップライト　４灯</v>
      </c>
      <c r="F1126" s="2" t="str">
        <f t="shared" si="303"/>
        <v>０００１</v>
      </c>
      <c r="G1126" s="2" t="str">
        <f>"3620004168"</f>
        <v>3620004168</v>
      </c>
      <c r="H1126" s="2" t="str">
        <f t="shared" si="299"/>
        <v>001</v>
      </c>
      <c r="I1126" s="2" t="str">
        <f t="shared" si="304"/>
        <v>4100401</v>
      </c>
      <c r="J1126" s="2">
        <f>21200</f>
        <v>21200</v>
      </c>
      <c r="K1126" s="2" t="str">
        <f t="shared" si="298"/>
        <v>個</v>
      </c>
      <c r="L1126" s="2" t="str">
        <f t="shared" si="305"/>
        <v>3630331</v>
      </c>
      <c r="M1126" s="2" t="str">
        <f>""</f>
        <v/>
      </c>
    </row>
    <row r="1127" spans="1:13" x14ac:dyDescent="0.15">
      <c r="A1127" s="2" t="str">
        <f t="shared" si="296"/>
        <v>1881110500</v>
      </c>
      <c r="B1127" s="2" t="str">
        <f t="shared" si="297"/>
        <v>佐伯・区政調整</v>
      </c>
      <c r="C1127" s="2" t="str">
        <f t="shared" si="300"/>
        <v>03ｼ00703</v>
      </c>
      <c r="D1127" s="2" t="str">
        <f t="shared" si="301"/>
        <v>スポットライト</v>
      </c>
      <c r="E1127" s="3" t="str">
        <f t="shared" si="302"/>
        <v>ストリップライト　４灯</v>
      </c>
      <c r="F1127" s="2" t="str">
        <f t="shared" si="303"/>
        <v>０００１</v>
      </c>
      <c r="G1127" s="2" t="str">
        <f>"3620004169"</f>
        <v>3620004169</v>
      </c>
      <c r="H1127" s="2" t="str">
        <f t="shared" si="299"/>
        <v>001</v>
      </c>
      <c r="I1127" s="2" t="str">
        <f t="shared" si="304"/>
        <v>4100401</v>
      </c>
      <c r="J1127" s="2">
        <f>21200</f>
        <v>21200</v>
      </c>
      <c r="K1127" s="2" t="str">
        <f t="shared" si="298"/>
        <v>個</v>
      </c>
      <c r="L1127" s="2" t="str">
        <f t="shared" si="305"/>
        <v>3630331</v>
      </c>
      <c r="M1127" s="2" t="str">
        <f>""</f>
        <v/>
      </c>
    </row>
    <row r="1128" spans="1:13" x14ac:dyDescent="0.15">
      <c r="A1128" s="2" t="str">
        <f t="shared" si="296"/>
        <v>1881110500</v>
      </c>
      <c r="B1128" s="2" t="str">
        <f t="shared" si="297"/>
        <v>佐伯・区政調整</v>
      </c>
      <c r="C1128" s="2" t="str">
        <f t="shared" si="300"/>
        <v>03ｼ00703</v>
      </c>
      <c r="D1128" s="2" t="str">
        <f t="shared" si="301"/>
        <v>スポットライト</v>
      </c>
      <c r="E1128" s="3" t="str">
        <f>"ストリップライト　８灯"</f>
        <v>ストリップライト　８灯</v>
      </c>
      <c r="F1128" s="2" t="str">
        <f t="shared" si="303"/>
        <v>０００１</v>
      </c>
      <c r="G1128" s="2" t="str">
        <f>"3620004170"</f>
        <v>3620004170</v>
      </c>
      <c r="H1128" s="2" t="str">
        <f t="shared" si="299"/>
        <v>001</v>
      </c>
      <c r="I1128" s="2" t="str">
        <f t="shared" si="304"/>
        <v>4100401</v>
      </c>
      <c r="J1128" s="2">
        <f>33800</f>
        <v>33800</v>
      </c>
      <c r="K1128" s="2" t="str">
        <f t="shared" si="298"/>
        <v>個</v>
      </c>
      <c r="L1128" s="2" t="str">
        <f t="shared" si="305"/>
        <v>3630331</v>
      </c>
      <c r="M1128" s="2" t="str">
        <f>""</f>
        <v/>
      </c>
    </row>
    <row r="1129" spans="1:13" x14ac:dyDescent="0.15">
      <c r="A1129" s="2" t="str">
        <f t="shared" si="296"/>
        <v>1881110500</v>
      </c>
      <c r="B1129" s="2" t="str">
        <f t="shared" si="297"/>
        <v>佐伯・区政調整</v>
      </c>
      <c r="C1129" s="2" t="str">
        <f t="shared" si="300"/>
        <v>03ｼ00703</v>
      </c>
      <c r="D1129" s="2" t="str">
        <f t="shared" si="301"/>
        <v>スポットライト</v>
      </c>
      <c r="E1129" s="3" t="str">
        <f t="shared" ref="E1129:E1144" si="306">"ハンガーチェーン"</f>
        <v>ハンガーチェーン</v>
      </c>
      <c r="F1129" s="2" t="str">
        <f t="shared" si="303"/>
        <v>０００１</v>
      </c>
      <c r="G1129" s="2" t="str">
        <f>"3620004171"</f>
        <v>3620004171</v>
      </c>
      <c r="H1129" s="2" t="str">
        <f t="shared" si="299"/>
        <v>001</v>
      </c>
      <c r="I1129" s="2" t="str">
        <f t="shared" si="304"/>
        <v>4100401</v>
      </c>
      <c r="J1129" s="2">
        <f>30000</f>
        <v>30000</v>
      </c>
      <c r="K1129" s="2" t="str">
        <f t="shared" si="298"/>
        <v>個</v>
      </c>
      <c r="L1129" s="2" t="str">
        <f t="shared" si="305"/>
        <v>3630331</v>
      </c>
      <c r="M1129" s="2" t="str">
        <f>""</f>
        <v/>
      </c>
    </row>
    <row r="1130" spans="1:13" x14ac:dyDescent="0.15">
      <c r="A1130" s="2" t="str">
        <f t="shared" si="296"/>
        <v>1881110500</v>
      </c>
      <c r="B1130" s="2" t="str">
        <f t="shared" si="297"/>
        <v>佐伯・区政調整</v>
      </c>
      <c r="C1130" s="2" t="str">
        <f t="shared" si="300"/>
        <v>03ｼ00703</v>
      </c>
      <c r="D1130" s="2" t="str">
        <f t="shared" si="301"/>
        <v>スポットライト</v>
      </c>
      <c r="E1130" s="3" t="str">
        <f t="shared" si="306"/>
        <v>ハンガーチェーン</v>
      </c>
      <c r="F1130" s="2" t="str">
        <f t="shared" si="303"/>
        <v>０００１</v>
      </c>
      <c r="G1130" s="2" t="str">
        <f>"3620004172"</f>
        <v>3620004172</v>
      </c>
      <c r="H1130" s="2" t="str">
        <f t="shared" si="299"/>
        <v>001</v>
      </c>
      <c r="I1130" s="2" t="str">
        <f t="shared" si="304"/>
        <v>4100401</v>
      </c>
      <c r="J1130" s="2">
        <f>30000</f>
        <v>30000</v>
      </c>
      <c r="K1130" s="2" t="str">
        <f t="shared" si="298"/>
        <v>個</v>
      </c>
      <c r="L1130" s="2" t="str">
        <f t="shared" si="305"/>
        <v>3630331</v>
      </c>
      <c r="M1130" s="2" t="str">
        <f>""</f>
        <v/>
      </c>
    </row>
    <row r="1131" spans="1:13" x14ac:dyDescent="0.15">
      <c r="A1131" s="2" t="str">
        <f t="shared" si="296"/>
        <v>1881110500</v>
      </c>
      <c r="B1131" s="2" t="str">
        <f t="shared" si="297"/>
        <v>佐伯・区政調整</v>
      </c>
      <c r="C1131" s="2" t="str">
        <f t="shared" si="300"/>
        <v>03ｼ00703</v>
      </c>
      <c r="D1131" s="2" t="str">
        <f t="shared" si="301"/>
        <v>スポットライト</v>
      </c>
      <c r="E1131" s="3" t="str">
        <f t="shared" si="306"/>
        <v>ハンガーチェーン</v>
      </c>
      <c r="F1131" s="2" t="str">
        <f t="shared" si="303"/>
        <v>０００１</v>
      </c>
      <c r="G1131" s="2" t="str">
        <f>"3620004173"</f>
        <v>3620004173</v>
      </c>
      <c r="H1131" s="2" t="str">
        <f t="shared" si="299"/>
        <v>001</v>
      </c>
      <c r="I1131" s="2" t="str">
        <f t="shared" si="304"/>
        <v>4100401</v>
      </c>
      <c r="J1131" s="2">
        <f>30000</f>
        <v>30000</v>
      </c>
      <c r="K1131" s="2" t="str">
        <f t="shared" si="298"/>
        <v>個</v>
      </c>
      <c r="L1131" s="2" t="str">
        <f t="shared" si="305"/>
        <v>3630331</v>
      </c>
      <c r="M1131" s="2" t="str">
        <f>""</f>
        <v/>
      </c>
    </row>
    <row r="1132" spans="1:13" x14ac:dyDescent="0.15">
      <c r="A1132" s="2" t="str">
        <f t="shared" si="296"/>
        <v>1881110500</v>
      </c>
      <c r="B1132" s="2" t="str">
        <f t="shared" si="297"/>
        <v>佐伯・区政調整</v>
      </c>
      <c r="C1132" s="2" t="str">
        <f t="shared" si="300"/>
        <v>03ｼ00703</v>
      </c>
      <c r="D1132" s="2" t="str">
        <f t="shared" si="301"/>
        <v>スポットライト</v>
      </c>
      <c r="E1132" s="3" t="str">
        <f t="shared" si="306"/>
        <v>ハンガーチェーン</v>
      </c>
      <c r="F1132" s="2" t="str">
        <f t="shared" si="303"/>
        <v>０００１</v>
      </c>
      <c r="G1132" s="2" t="str">
        <f>"3620004174"</f>
        <v>3620004174</v>
      </c>
      <c r="H1132" s="2" t="str">
        <f t="shared" si="299"/>
        <v>001</v>
      </c>
      <c r="I1132" s="2" t="str">
        <f t="shared" si="304"/>
        <v>4100401</v>
      </c>
      <c r="J1132" s="2">
        <f>30000</f>
        <v>30000</v>
      </c>
      <c r="K1132" s="2" t="str">
        <f t="shared" si="298"/>
        <v>個</v>
      </c>
      <c r="L1132" s="2" t="str">
        <f t="shared" si="305"/>
        <v>3630331</v>
      </c>
      <c r="M1132" s="2" t="str">
        <f>""</f>
        <v/>
      </c>
    </row>
    <row r="1133" spans="1:13" x14ac:dyDescent="0.15">
      <c r="A1133" s="2" t="str">
        <f t="shared" si="296"/>
        <v>1881110500</v>
      </c>
      <c r="B1133" s="2" t="str">
        <f t="shared" si="297"/>
        <v>佐伯・区政調整</v>
      </c>
      <c r="C1133" s="2" t="str">
        <f t="shared" si="300"/>
        <v>03ｼ00703</v>
      </c>
      <c r="D1133" s="2" t="str">
        <f t="shared" si="301"/>
        <v>スポットライト</v>
      </c>
      <c r="E1133" s="3" t="str">
        <f t="shared" si="306"/>
        <v>ハンガーチェーン</v>
      </c>
      <c r="F1133" s="2" t="str">
        <f t="shared" si="303"/>
        <v>０００１</v>
      </c>
      <c r="G1133" s="2" t="str">
        <f>"3620004175"</f>
        <v>3620004175</v>
      </c>
      <c r="H1133" s="2" t="str">
        <f t="shared" si="299"/>
        <v>001</v>
      </c>
      <c r="I1133" s="2" t="str">
        <f t="shared" si="304"/>
        <v>4100401</v>
      </c>
      <c r="J1133" s="2">
        <f>30000</f>
        <v>30000</v>
      </c>
      <c r="K1133" s="2" t="str">
        <f t="shared" si="298"/>
        <v>個</v>
      </c>
      <c r="L1133" s="2" t="str">
        <f t="shared" si="305"/>
        <v>3630331</v>
      </c>
      <c r="M1133" s="2" t="str">
        <f>""</f>
        <v/>
      </c>
    </row>
    <row r="1134" spans="1:13" x14ac:dyDescent="0.15">
      <c r="A1134" s="2" t="str">
        <f t="shared" si="296"/>
        <v>1881110500</v>
      </c>
      <c r="B1134" s="2" t="str">
        <f t="shared" si="297"/>
        <v>佐伯・区政調整</v>
      </c>
      <c r="C1134" s="2" t="str">
        <f t="shared" si="300"/>
        <v>03ｼ00703</v>
      </c>
      <c r="D1134" s="2" t="str">
        <f t="shared" si="301"/>
        <v>スポットライト</v>
      </c>
      <c r="E1134" s="3" t="str">
        <f t="shared" si="306"/>
        <v>ハンガーチェーン</v>
      </c>
      <c r="F1134" s="2" t="str">
        <f t="shared" si="303"/>
        <v>０００１</v>
      </c>
      <c r="G1134" s="2" t="str">
        <f>"3620004176"</f>
        <v>3620004176</v>
      </c>
      <c r="H1134" s="2" t="str">
        <f t="shared" si="299"/>
        <v>001</v>
      </c>
      <c r="I1134" s="2" t="str">
        <f t="shared" si="304"/>
        <v>4100401</v>
      </c>
      <c r="J1134" s="2">
        <f>30000</f>
        <v>30000</v>
      </c>
      <c r="K1134" s="2" t="str">
        <f t="shared" si="298"/>
        <v>個</v>
      </c>
      <c r="L1134" s="2" t="str">
        <f t="shared" si="305"/>
        <v>3630331</v>
      </c>
      <c r="M1134" s="2" t="str">
        <f>""</f>
        <v/>
      </c>
    </row>
    <row r="1135" spans="1:13" x14ac:dyDescent="0.15">
      <c r="A1135" s="2" t="str">
        <f t="shared" si="296"/>
        <v>1881110500</v>
      </c>
      <c r="B1135" s="2" t="str">
        <f t="shared" si="297"/>
        <v>佐伯・区政調整</v>
      </c>
      <c r="C1135" s="2" t="str">
        <f t="shared" si="300"/>
        <v>03ｼ00703</v>
      </c>
      <c r="D1135" s="2" t="str">
        <f t="shared" si="301"/>
        <v>スポットライト</v>
      </c>
      <c r="E1135" s="3" t="str">
        <f t="shared" si="306"/>
        <v>ハンガーチェーン</v>
      </c>
      <c r="F1135" s="2" t="str">
        <f t="shared" si="303"/>
        <v>０００１</v>
      </c>
      <c r="G1135" s="2" t="str">
        <f>"3620004177"</f>
        <v>3620004177</v>
      </c>
      <c r="H1135" s="2" t="str">
        <f t="shared" si="299"/>
        <v>001</v>
      </c>
      <c r="I1135" s="2" t="str">
        <f t="shared" si="304"/>
        <v>4100401</v>
      </c>
      <c r="J1135" s="2">
        <f>30000</f>
        <v>30000</v>
      </c>
      <c r="K1135" s="2" t="str">
        <f t="shared" si="298"/>
        <v>個</v>
      </c>
      <c r="L1135" s="2" t="str">
        <f t="shared" si="305"/>
        <v>3630331</v>
      </c>
      <c r="M1135" s="2" t="str">
        <f>""</f>
        <v/>
      </c>
    </row>
    <row r="1136" spans="1:13" x14ac:dyDescent="0.15">
      <c r="A1136" s="2" t="str">
        <f t="shared" si="296"/>
        <v>1881110500</v>
      </c>
      <c r="B1136" s="2" t="str">
        <f t="shared" si="297"/>
        <v>佐伯・区政調整</v>
      </c>
      <c r="C1136" s="2" t="str">
        <f t="shared" si="300"/>
        <v>03ｼ00703</v>
      </c>
      <c r="D1136" s="2" t="str">
        <f t="shared" si="301"/>
        <v>スポットライト</v>
      </c>
      <c r="E1136" s="3" t="str">
        <f t="shared" si="306"/>
        <v>ハンガーチェーン</v>
      </c>
      <c r="F1136" s="2" t="str">
        <f t="shared" si="303"/>
        <v>０００１</v>
      </c>
      <c r="G1136" s="2" t="str">
        <f>"3620004178"</f>
        <v>3620004178</v>
      </c>
      <c r="H1136" s="2" t="str">
        <f t="shared" si="299"/>
        <v>001</v>
      </c>
      <c r="I1136" s="2" t="str">
        <f t="shared" si="304"/>
        <v>4100401</v>
      </c>
      <c r="J1136" s="2">
        <f>30000</f>
        <v>30000</v>
      </c>
      <c r="K1136" s="2" t="str">
        <f t="shared" si="298"/>
        <v>個</v>
      </c>
      <c r="L1136" s="2" t="str">
        <f t="shared" si="305"/>
        <v>3630331</v>
      </c>
      <c r="M1136" s="2" t="str">
        <f>""</f>
        <v/>
      </c>
    </row>
    <row r="1137" spans="1:13" x14ac:dyDescent="0.15">
      <c r="A1137" s="2" t="str">
        <f t="shared" si="296"/>
        <v>1881110500</v>
      </c>
      <c r="B1137" s="2" t="str">
        <f t="shared" si="297"/>
        <v>佐伯・区政調整</v>
      </c>
      <c r="C1137" s="2" t="str">
        <f t="shared" si="300"/>
        <v>03ｼ00703</v>
      </c>
      <c r="D1137" s="2" t="str">
        <f t="shared" si="301"/>
        <v>スポットライト</v>
      </c>
      <c r="E1137" s="3" t="str">
        <f t="shared" si="306"/>
        <v>ハンガーチェーン</v>
      </c>
      <c r="F1137" s="2" t="str">
        <f t="shared" si="303"/>
        <v>０００１</v>
      </c>
      <c r="G1137" s="2" t="str">
        <f>"3620004179"</f>
        <v>3620004179</v>
      </c>
      <c r="H1137" s="2" t="str">
        <f t="shared" si="299"/>
        <v>001</v>
      </c>
      <c r="I1137" s="2" t="str">
        <f t="shared" si="304"/>
        <v>4100401</v>
      </c>
      <c r="J1137" s="2">
        <f>30000</f>
        <v>30000</v>
      </c>
      <c r="K1137" s="2" t="str">
        <f t="shared" si="298"/>
        <v>個</v>
      </c>
      <c r="L1137" s="2" t="str">
        <f t="shared" si="305"/>
        <v>3630331</v>
      </c>
      <c r="M1137" s="2" t="str">
        <f>""</f>
        <v/>
      </c>
    </row>
    <row r="1138" spans="1:13" x14ac:dyDescent="0.15">
      <c r="A1138" s="2" t="str">
        <f t="shared" si="296"/>
        <v>1881110500</v>
      </c>
      <c r="B1138" s="2" t="str">
        <f t="shared" si="297"/>
        <v>佐伯・区政調整</v>
      </c>
      <c r="C1138" s="2" t="str">
        <f t="shared" si="300"/>
        <v>03ｼ00703</v>
      </c>
      <c r="D1138" s="2" t="str">
        <f t="shared" si="301"/>
        <v>スポットライト</v>
      </c>
      <c r="E1138" s="3" t="str">
        <f t="shared" si="306"/>
        <v>ハンガーチェーン</v>
      </c>
      <c r="F1138" s="2" t="str">
        <f t="shared" si="303"/>
        <v>０００１</v>
      </c>
      <c r="G1138" s="2" t="str">
        <f>"3620004180"</f>
        <v>3620004180</v>
      </c>
      <c r="H1138" s="2" t="str">
        <f t="shared" si="299"/>
        <v>001</v>
      </c>
      <c r="I1138" s="2" t="str">
        <f t="shared" si="304"/>
        <v>4100401</v>
      </c>
      <c r="J1138" s="2">
        <f>30000</f>
        <v>30000</v>
      </c>
      <c r="K1138" s="2" t="str">
        <f t="shared" si="298"/>
        <v>個</v>
      </c>
      <c r="L1138" s="2" t="str">
        <f t="shared" si="305"/>
        <v>3630331</v>
      </c>
      <c r="M1138" s="2" t="str">
        <f>""</f>
        <v/>
      </c>
    </row>
    <row r="1139" spans="1:13" x14ac:dyDescent="0.15">
      <c r="A1139" s="2" t="str">
        <f t="shared" si="296"/>
        <v>1881110500</v>
      </c>
      <c r="B1139" s="2" t="str">
        <f t="shared" si="297"/>
        <v>佐伯・区政調整</v>
      </c>
      <c r="C1139" s="2" t="str">
        <f t="shared" si="300"/>
        <v>03ｼ00703</v>
      </c>
      <c r="D1139" s="2" t="str">
        <f t="shared" si="301"/>
        <v>スポットライト</v>
      </c>
      <c r="E1139" s="3" t="str">
        <f t="shared" si="306"/>
        <v>ハンガーチェーン</v>
      </c>
      <c r="F1139" s="2" t="str">
        <f t="shared" si="303"/>
        <v>０００１</v>
      </c>
      <c r="G1139" s="2" t="str">
        <f>"3620004181"</f>
        <v>3620004181</v>
      </c>
      <c r="H1139" s="2" t="str">
        <f t="shared" si="299"/>
        <v>001</v>
      </c>
      <c r="I1139" s="2" t="str">
        <f t="shared" si="304"/>
        <v>4100401</v>
      </c>
      <c r="J1139" s="2">
        <f>30000</f>
        <v>30000</v>
      </c>
      <c r="K1139" s="2" t="str">
        <f t="shared" si="298"/>
        <v>個</v>
      </c>
      <c r="L1139" s="2" t="str">
        <f t="shared" si="305"/>
        <v>3630331</v>
      </c>
      <c r="M1139" s="2" t="str">
        <f>""</f>
        <v/>
      </c>
    </row>
    <row r="1140" spans="1:13" x14ac:dyDescent="0.15">
      <c r="A1140" s="2" t="str">
        <f t="shared" si="296"/>
        <v>1881110500</v>
      </c>
      <c r="B1140" s="2" t="str">
        <f t="shared" si="297"/>
        <v>佐伯・区政調整</v>
      </c>
      <c r="C1140" s="2" t="str">
        <f t="shared" si="300"/>
        <v>03ｼ00703</v>
      </c>
      <c r="D1140" s="2" t="str">
        <f t="shared" si="301"/>
        <v>スポットライト</v>
      </c>
      <c r="E1140" s="3" t="str">
        <f t="shared" si="306"/>
        <v>ハンガーチェーン</v>
      </c>
      <c r="F1140" s="2" t="str">
        <f t="shared" si="303"/>
        <v>０００１</v>
      </c>
      <c r="G1140" s="2" t="str">
        <f>"3620004182"</f>
        <v>3620004182</v>
      </c>
      <c r="H1140" s="2" t="str">
        <f t="shared" si="299"/>
        <v>001</v>
      </c>
      <c r="I1140" s="2" t="str">
        <f t="shared" si="304"/>
        <v>4100401</v>
      </c>
      <c r="J1140" s="2">
        <f>30000</f>
        <v>30000</v>
      </c>
      <c r="K1140" s="2" t="str">
        <f t="shared" si="298"/>
        <v>個</v>
      </c>
      <c r="L1140" s="2" t="str">
        <f t="shared" si="305"/>
        <v>3630331</v>
      </c>
      <c r="M1140" s="2" t="str">
        <f>""</f>
        <v/>
      </c>
    </row>
    <row r="1141" spans="1:13" x14ac:dyDescent="0.15">
      <c r="A1141" s="2" t="str">
        <f t="shared" si="296"/>
        <v>1881110500</v>
      </c>
      <c r="B1141" s="2" t="str">
        <f t="shared" si="297"/>
        <v>佐伯・区政調整</v>
      </c>
      <c r="C1141" s="2" t="str">
        <f t="shared" si="300"/>
        <v>03ｼ00703</v>
      </c>
      <c r="D1141" s="2" t="str">
        <f t="shared" si="301"/>
        <v>スポットライト</v>
      </c>
      <c r="E1141" s="3" t="str">
        <f t="shared" si="306"/>
        <v>ハンガーチェーン</v>
      </c>
      <c r="F1141" s="2" t="str">
        <f t="shared" si="303"/>
        <v>０００１</v>
      </c>
      <c r="G1141" s="2" t="str">
        <f>"3620004183"</f>
        <v>3620004183</v>
      </c>
      <c r="H1141" s="2" t="str">
        <f t="shared" si="299"/>
        <v>001</v>
      </c>
      <c r="I1141" s="2" t="str">
        <f t="shared" si="304"/>
        <v>4100401</v>
      </c>
      <c r="J1141" s="2">
        <f>30000</f>
        <v>30000</v>
      </c>
      <c r="K1141" s="2" t="str">
        <f t="shared" si="298"/>
        <v>個</v>
      </c>
      <c r="L1141" s="2" t="str">
        <f t="shared" si="305"/>
        <v>3630331</v>
      </c>
      <c r="M1141" s="2" t="str">
        <f>""</f>
        <v/>
      </c>
    </row>
    <row r="1142" spans="1:13" x14ac:dyDescent="0.15">
      <c r="A1142" s="2" t="str">
        <f t="shared" si="296"/>
        <v>1881110500</v>
      </c>
      <c r="B1142" s="2" t="str">
        <f t="shared" si="297"/>
        <v>佐伯・区政調整</v>
      </c>
      <c r="C1142" s="2" t="str">
        <f t="shared" si="300"/>
        <v>03ｼ00703</v>
      </c>
      <c r="D1142" s="2" t="str">
        <f t="shared" si="301"/>
        <v>スポットライト</v>
      </c>
      <c r="E1142" s="3" t="str">
        <f t="shared" si="306"/>
        <v>ハンガーチェーン</v>
      </c>
      <c r="F1142" s="2" t="str">
        <f t="shared" si="303"/>
        <v>０００１</v>
      </c>
      <c r="G1142" s="2" t="str">
        <f>"3620004184"</f>
        <v>3620004184</v>
      </c>
      <c r="H1142" s="2" t="str">
        <f t="shared" si="299"/>
        <v>001</v>
      </c>
      <c r="I1142" s="2" t="str">
        <f t="shared" si="304"/>
        <v>4100401</v>
      </c>
      <c r="J1142" s="2">
        <f>30000</f>
        <v>30000</v>
      </c>
      <c r="K1142" s="2" t="str">
        <f t="shared" si="298"/>
        <v>個</v>
      </c>
      <c r="L1142" s="2" t="str">
        <f t="shared" si="305"/>
        <v>3630331</v>
      </c>
      <c r="M1142" s="2" t="str">
        <f>""</f>
        <v/>
      </c>
    </row>
    <row r="1143" spans="1:13" x14ac:dyDescent="0.15">
      <c r="A1143" s="2" t="str">
        <f t="shared" si="296"/>
        <v>1881110500</v>
      </c>
      <c r="B1143" s="2" t="str">
        <f t="shared" si="297"/>
        <v>佐伯・区政調整</v>
      </c>
      <c r="C1143" s="2" t="str">
        <f t="shared" si="300"/>
        <v>03ｼ00703</v>
      </c>
      <c r="D1143" s="2" t="str">
        <f t="shared" si="301"/>
        <v>スポットライト</v>
      </c>
      <c r="E1143" s="3" t="str">
        <f t="shared" si="306"/>
        <v>ハンガーチェーン</v>
      </c>
      <c r="F1143" s="2" t="str">
        <f t="shared" si="303"/>
        <v>０００１</v>
      </c>
      <c r="G1143" s="2" t="str">
        <f>"3620004185"</f>
        <v>3620004185</v>
      </c>
      <c r="H1143" s="2" t="str">
        <f t="shared" si="299"/>
        <v>001</v>
      </c>
      <c r="I1143" s="2" t="str">
        <f t="shared" si="304"/>
        <v>4100401</v>
      </c>
      <c r="J1143" s="2">
        <f>30000</f>
        <v>30000</v>
      </c>
      <c r="K1143" s="2" t="str">
        <f t="shared" si="298"/>
        <v>個</v>
      </c>
      <c r="L1143" s="2" t="str">
        <f t="shared" si="305"/>
        <v>3630331</v>
      </c>
      <c r="M1143" s="2" t="str">
        <f>""</f>
        <v/>
      </c>
    </row>
    <row r="1144" spans="1:13" x14ac:dyDescent="0.15">
      <c r="A1144" s="2" t="str">
        <f t="shared" si="296"/>
        <v>1881110500</v>
      </c>
      <c r="B1144" s="2" t="str">
        <f t="shared" si="297"/>
        <v>佐伯・区政調整</v>
      </c>
      <c r="C1144" s="2" t="str">
        <f t="shared" si="300"/>
        <v>03ｼ00703</v>
      </c>
      <c r="D1144" s="2" t="str">
        <f t="shared" si="301"/>
        <v>スポットライト</v>
      </c>
      <c r="E1144" s="3" t="str">
        <f t="shared" si="306"/>
        <v>ハンガーチェーン</v>
      </c>
      <c r="F1144" s="2" t="str">
        <f t="shared" si="303"/>
        <v>０００１</v>
      </c>
      <c r="G1144" s="2" t="str">
        <f>"3620004186"</f>
        <v>3620004186</v>
      </c>
      <c r="H1144" s="2" t="str">
        <f t="shared" si="299"/>
        <v>001</v>
      </c>
      <c r="I1144" s="2" t="str">
        <f t="shared" si="304"/>
        <v>4100401</v>
      </c>
      <c r="J1144" s="2">
        <f>30000</f>
        <v>30000</v>
      </c>
      <c r="K1144" s="2" t="str">
        <f t="shared" si="298"/>
        <v>個</v>
      </c>
      <c r="L1144" s="2" t="str">
        <f t="shared" si="305"/>
        <v>3630331</v>
      </c>
      <c r="M1144" s="2" t="str">
        <f>""</f>
        <v/>
      </c>
    </row>
    <row r="1145" spans="1:13" x14ac:dyDescent="0.15">
      <c r="A1145" s="2" t="str">
        <f t="shared" si="296"/>
        <v>1881110500</v>
      </c>
      <c r="B1145" s="2" t="str">
        <f t="shared" si="297"/>
        <v>佐伯・区政調整</v>
      </c>
      <c r="C1145" s="2" t="str">
        <f t="shared" si="300"/>
        <v>03ｼ00703</v>
      </c>
      <c r="D1145" s="2" t="str">
        <f t="shared" si="301"/>
        <v>スポットライト</v>
      </c>
      <c r="E1145" s="3" t="str">
        <f t="shared" ref="E1145:E1154" si="307">"ハンガーチェン"</f>
        <v>ハンガーチェン</v>
      </c>
      <c r="F1145" s="2" t="str">
        <f t="shared" si="303"/>
        <v>０００１</v>
      </c>
      <c r="G1145" s="2" t="str">
        <f>"3620004188"</f>
        <v>3620004188</v>
      </c>
      <c r="H1145" s="2" t="str">
        <f t="shared" si="299"/>
        <v>001</v>
      </c>
      <c r="I1145" s="2" t="str">
        <f t="shared" si="304"/>
        <v>4100401</v>
      </c>
      <c r="J1145" s="2">
        <f>37640</f>
        <v>37640</v>
      </c>
      <c r="K1145" s="2" t="str">
        <f t="shared" ref="K1145:K1175" si="308">"個"</f>
        <v>個</v>
      </c>
      <c r="L1145" s="2" t="str">
        <f t="shared" si="305"/>
        <v>3630331</v>
      </c>
      <c r="M1145" s="2" t="str">
        <f>""</f>
        <v/>
      </c>
    </row>
    <row r="1146" spans="1:13" x14ac:dyDescent="0.15">
      <c r="A1146" s="2" t="str">
        <f t="shared" si="296"/>
        <v>1881110500</v>
      </c>
      <c r="B1146" s="2" t="str">
        <f t="shared" si="297"/>
        <v>佐伯・区政調整</v>
      </c>
      <c r="C1146" s="2" t="str">
        <f t="shared" si="300"/>
        <v>03ｼ00703</v>
      </c>
      <c r="D1146" s="2" t="str">
        <f t="shared" si="301"/>
        <v>スポットライト</v>
      </c>
      <c r="E1146" s="3" t="str">
        <f t="shared" si="307"/>
        <v>ハンガーチェン</v>
      </c>
      <c r="F1146" s="2" t="str">
        <f t="shared" si="303"/>
        <v>０００１</v>
      </c>
      <c r="G1146" s="2" t="str">
        <f>"3620004189"</f>
        <v>3620004189</v>
      </c>
      <c r="H1146" s="2" t="str">
        <f t="shared" si="299"/>
        <v>001</v>
      </c>
      <c r="I1146" s="2" t="str">
        <f t="shared" si="304"/>
        <v>4100401</v>
      </c>
      <c r="J1146" s="2">
        <f>37640</f>
        <v>37640</v>
      </c>
      <c r="K1146" s="2" t="str">
        <f t="shared" si="308"/>
        <v>個</v>
      </c>
      <c r="L1146" s="2" t="str">
        <f t="shared" si="305"/>
        <v>3630331</v>
      </c>
      <c r="M1146" s="2" t="str">
        <f>""</f>
        <v/>
      </c>
    </row>
    <row r="1147" spans="1:13" x14ac:dyDescent="0.15">
      <c r="A1147" s="2" t="str">
        <f t="shared" si="296"/>
        <v>1881110500</v>
      </c>
      <c r="B1147" s="2" t="str">
        <f t="shared" si="297"/>
        <v>佐伯・区政調整</v>
      </c>
      <c r="C1147" s="2" t="str">
        <f t="shared" si="300"/>
        <v>03ｼ00703</v>
      </c>
      <c r="D1147" s="2" t="str">
        <f t="shared" si="301"/>
        <v>スポットライト</v>
      </c>
      <c r="E1147" s="3" t="str">
        <f t="shared" si="307"/>
        <v>ハンガーチェン</v>
      </c>
      <c r="F1147" s="2" t="str">
        <f t="shared" si="303"/>
        <v>０００１</v>
      </c>
      <c r="G1147" s="2" t="str">
        <f>"3620004190"</f>
        <v>3620004190</v>
      </c>
      <c r="H1147" s="2" t="str">
        <f t="shared" si="299"/>
        <v>001</v>
      </c>
      <c r="I1147" s="2" t="str">
        <f t="shared" si="304"/>
        <v>4100401</v>
      </c>
      <c r="J1147" s="2">
        <f>37640</f>
        <v>37640</v>
      </c>
      <c r="K1147" s="2" t="str">
        <f t="shared" si="308"/>
        <v>個</v>
      </c>
      <c r="L1147" s="2" t="str">
        <f t="shared" si="305"/>
        <v>3630331</v>
      </c>
      <c r="M1147" s="2" t="str">
        <f>""</f>
        <v/>
      </c>
    </row>
    <row r="1148" spans="1:13" x14ac:dyDescent="0.15">
      <c r="A1148" s="2" t="str">
        <f t="shared" si="296"/>
        <v>1881110500</v>
      </c>
      <c r="B1148" s="2" t="str">
        <f t="shared" si="297"/>
        <v>佐伯・区政調整</v>
      </c>
      <c r="C1148" s="2" t="str">
        <f t="shared" si="300"/>
        <v>03ｼ00703</v>
      </c>
      <c r="D1148" s="2" t="str">
        <f t="shared" si="301"/>
        <v>スポットライト</v>
      </c>
      <c r="E1148" s="3" t="str">
        <f t="shared" si="307"/>
        <v>ハンガーチェン</v>
      </c>
      <c r="F1148" s="2" t="str">
        <f t="shared" si="303"/>
        <v>０００１</v>
      </c>
      <c r="G1148" s="2" t="str">
        <f>"3620004191"</f>
        <v>3620004191</v>
      </c>
      <c r="H1148" s="2" t="str">
        <f t="shared" si="299"/>
        <v>001</v>
      </c>
      <c r="I1148" s="2" t="str">
        <f t="shared" si="304"/>
        <v>4100401</v>
      </c>
      <c r="J1148" s="2">
        <f>37640</f>
        <v>37640</v>
      </c>
      <c r="K1148" s="2" t="str">
        <f t="shared" si="308"/>
        <v>個</v>
      </c>
      <c r="L1148" s="2" t="str">
        <f t="shared" si="305"/>
        <v>3630331</v>
      </c>
      <c r="M1148" s="2" t="str">
        <f>""</f>
        <v/>
      </c>
    </row>
    <row r="1149" spans="1:13" x14ac:dyDescent="0.15">
      <c r="A1149" s="2" t="str">
        <f t="shared" si="296"/>
        <v>1881110500</v>
      </c>
      <c r="B1149" s="2" t="str">
        <f t="shared" si="297"/>
        <v>佐伯・区政調整</v>
      </c>
      <c r="C1149" s="2" t="str">
        <f t="shared" si="300"/>
        <v>03ｼ00703</v>
      </c>
      <c r="D1149" s="2" t="str">
        <f t="shared" si="301"/>
        <v>スポットライト</v>
      </c>
      <c r="E1149" s="3" t="str">
        <f t="shared" si="307"/>
        <v>ハンガーチェン</v>
      </c>
      <c r="F1149" s="2" t="str">
        <f t="shared" si="303"/>
        <v>０００１</v>
      </c>
      <c r="G1149" s="2" t="str">
        <f>"3620004192"</f>
        <v>3620004192</v>
      </c>
      <c r="H1149" s="2" t="str">
        <f t="shared" ref="H1149:H1178" si="309">"001"</f>
        <v>001</v>
      </c>
      <c r="I1149" s="2" t="str">
        <f t="shared" si="304"/>
        <v>4100401</v>
      </c>
      <c r="J1149" s="2">
        <f>37640</f>
        <v>37640</v>
      </c>
      <c r="K1149" s="2" t="str">
        <f t="shared" si="308"/>
        <v>個</v>
      </c>
      <c r="L1149" s="2" t="str">
        <f t="shared" si="305"/>
        <v>3630331</v>
      </c>
      <c r="M1149" s="2" t="str">
        <f>""</f>
        <v/>
      </c>
    </row>
    <row r="1150" spans="1:13" x14ac:dyDescent="0.15">
      <c r="A1150" s="2" t="str">
        <f t="shared" si="296"/>
        <v>1881110500</v>
      </c>
      <c r="B1150" s="2" t="str">
        <f t="shared" si="297"/>
        <v>佐伯・区政調整</v>
      </c>
      <c r="C1150" s="2" t="str">
        <f t="shared" ref="C1150:C1175" si="310">"03ｼ00703"</f>
        <v>03ｼ00703</v>
      </c>
      <c r="D1150" s="2" t="str">
        <f t="shared" ref="D1150:D1175" si="311">"スポットライト"</f>
        <v>スポットライト</v>
      </c>
      <c r="E1150" s="3" t="str">
        <f t="shared" si="307"/>
        <v>ハンガーチェン</v>
      </c>
      <c r="F1150" s="2" t="str">
        <f t="shared" ref="F1150:F1177" si="312">"０００１"</f>
        <v>０００１</v>
      </c>
      <c r="G1150" s="2" t="str">
        <f>"3620004193"</f>
        <v>3620004193</v>
      </c>
      <c r="H1150" s="2" t="str">
        <f t="shared" si="309"/>
        <v>001</v>
      </c>
      <c r="I1150" s="2" t="str">
        <f t="shared" ref="I1150:I1169" si="313">"4100401"</f>
        <v>4100401</v>
      </c>
      <c r="J1150" s="2">
        <f>37640</f>
        <v>37640</v>
      </c>
      <c r="K1150" s="2" t="str">
        <f t="shared" si="308"/>
        <v>個</v>
      </c>
      <c r="L1150" s="2" t="str">
        <f t="shared" si="305"/>
        <v>3630331</v>
      </c>
      <c r="M1150" s="2" t="str">
        <f>""</f>
        <v/>
      </c>
    </row>
    <row r="1151" spans="1:13" x14ac:dyDescent="0.15">
      <c r="A1151" s="2" t="str">
        <f t="shared" si="296"/>
        <v>1881110500</v>
      </c>
      <c r="B1151" s="2" t="str">
        <f t="shared" si="297"/>
        <v>佐伯・区政調整</v>
      </c>
      <c r="C1151" s="2" t="str">
        <f t="shared" si="310"/>
        <v>03ｼ00703</v>
      </c>
      <c r="D1151" s="2" t="str">
        <f t="shared" si="311"/>
        <v>スポットライト</v>
      </c>
      <c r="E1151" s="3" t="str">
        <f t="shared" si="307"/>
        <v>ハンガーチェン</v>
      </c>
      <c r="F1151" s="2" t="str">
        <f t="shared" si="312"/>
        <v>０００１</v>
      </c>
      <c r="G1151" s="2" t="str">
        <f>"3620004194"</f>
        <v>3620004194</v>
      </c>
      <c r="H1151" s="2" t="str">
        <f t="shared" si="309"/>
        <v>001</v>
      </c>
      <c r="I1151" s="2" t="str">
        <f t="shared" si="313"/>
        <v>4100401</v>
      </c>
      <c r="J1151" s="2">
        <f>37640</f>
        <v>37640</v>
      </c>
      <c r="K1151" s="2" t="str">
        <f t="shared" si="308"/>
        <v>個</v>
      </c>
      <c r="L1151" s="2" t="str">
        <f t="shared" si="305"/>
        <v>3630331</v>
      </c>
      <c r="M1151" s="2" t="str">
        <f>""</f>
        <v/>
      </c>
    </row>
    <row r="1152" spans="1:13" x14ac:dyDescent="0.15">
      <c r="A1152" s="2" t="str">
        <f t="shared" si="296"/>
        <v>1881110500</v>
      </c>
      <c r="B1152" s="2" t="str">
        <f t="shared" si="297"/>
        <v>佐伯・区政調整</v>
      </c>
      <c r="C1152" s="2" t="str">
        <f t="shared" si="310"/>
        <v>03ｼ00703</v>
      </c>
      <c r="D1152" s="2" t="str">
        <f t="shared" si="311"/>
        <v>スポットライト</v>
      </c>
      <c r="E1152" s="3" t="str">
        <f t="shared" si="307"/>
        <v>ハンガーチェン</v>
      </c>
      <c r="F1152" s="2" t="str">
        <f t="shared" si="312"/>
        <v>０００１</v>
      </c>
      <c r="G1152" s="2" t="str">
        <f>"3620004195"</f>
        <v>3620004195</v>
      </c>
      <c r="H1152" s="2" t="str">
        <f t="shared" si="309"/>
        <v>001</v>
      </c>
      <c r="I1152" s="2" t="str">
        <f t="shared" si="313"/>
        <v>4100401</v>
      </c>
      <c r="J1152" s="2">
        <f>37640</f>
        <v>37640</v>
      </c>
      <c r="K1152" s="2" t="str">
        <f t="shared" si="308"/>
        <v>個</v>
      </c>
      <c r="L1152" s="2" t="str">
        <f t="shared" si="305"/>
        <v>3630331</v>
      </c>
      <c r="M1152" s="2" t="str">
        <f>""</f>
        <v/>
      </c>
    </row>
    <row r="1153" spans="1:13" x14ac:dyDescent="0.15">
      <c r="A1153" s="2" t="str">
        <f t="shared" si="296"/>
        <v>1881110500</v>
      </c>
      <c r="B1153" s="2" t="str">
        <f t="shared" si="297"/>
        <v>佐伯・区政調整</v>
      </c>
      <c r="C1153" s="2" t="str">
        <f t="shared" si="310"/>
        <v>03ｼ00703</v>
      </c>
      <c r="D1153" s="2" t="str">
        <f t="shared" si="311"/>
        <v>スポットライト</v>
      </c>
      <c r="E1153" s="3" t="str">
        <f t="shared" si="307"/>
        <v>ハンガーチェン</v>
      </c>
      <c r="F1153" s="2" t="str">
        <f t="shared" si="312"/>
        <v>０００１</v>
      </c>
      <c r="G1153" s="2" t="str">
        <f>"3620004196"</f>
        <v>3620004196</v>
      </c>
      <c r="H1153" s="2" t="str">
        <f t="shared" si="309"/>
        <v>001</v>
      </c>
      <c r="I1153" s="2" t="str">
        <f t="shared" si="313"/>
        <v>4100401</v>
      </c>
      <c r="J1153" s="2">
        <f>37640</f>
        <v>37640</v>
      </c>
      <c r="K1153" s="2" t="str">
        <f t="shared" si="308"/>
        <v>個</v>
      </c>
      <c r="L1153" s="2" t="str">
        <f t="shared" si="305"/>
        <v>3630331</v>
      </c>
      <c r="M1153" s="2" t="str">
        <f>""</f>
        <v/>
      </c>
    </row>
    <row r="1154" spans="1:13" x14ac:dyDescent="0.15">
      <c r="A1154" s="2" t="str">
        <f t="shared" si="296"/>
        <v>1881110500</v>
      </c>
      <c r="B1154" s="2" t="str">
        <f t="shared" si="297"/>
        <v>佐伯・区政調整</v>
      </c>
      <c r="C1154" s="2" t="str">
        <f t="shared" si="310"/>
        <v>03ｼ00703</v>
      </c>
      <c r="D1154" s="2" t="str">
        <f t="shared" si="311"/>
        <v>スポットライト</v>
      </c>
      <c r="E1154" s="3" t="str">
        <f t="shared" si="307"/>
        <v>ハンガーチェン</v>
      </c>
      <c r="F1154" s="2" t="str">
        <f t="shared" si="312"/>
        <v>０００１</v>
      </c>
      <c r="G1154" s="2" t="str">
        <f>"3620004197"</f>
        <v>3620004197</v>
      </c>
      <c r="H1154" s="2" t="str">
        <f t="shared" si="309"/>
        <v>001</v>
      </c>
      <c r="I1154" s="2" t="str">
        <f t="shared" si="313"/>
        <v>4100401</v>
      </c>
      <c r="J1154" s="2">
        <f>37640</f>
        <v>37640</v>
      </c>
      <c r="K1154" s="2" t="str">
        <f t="shared" si="308"/>
        <v>個</v>
      </c>
      <c r="L1154" s="2" t="str">
        <f t="shared" si="305"/>
        <v>3630331</v>
      </c>
      <c r="M1154" s="2" t="str">
        <f>""</f>
        <v/>
      </c>
    </row>
    <row r="1155" spans="1:13" x14ac:dyDescent="0.15">
      <c r="A1155" s="2" t="str">
        <f t="shared" si="296"/>
        <v>1881110500</v>
      </c>
      <c r="B1155" s="2" t="str">
        <f t="shared" si="297"/>
        <v>佐伯・区政調整</v>
      </c>
      <c r="C1155" s="2" t="str">
        <f t="shared" si="310"/>
        <v>03ｼ00703</v>
      </c>
      <c r="D1155" s="2" t="str">
        <f t="shared" si="311"/>
        <v>スポットライト</v>
      </c>
      <c r="E1155" s="3" t="str">
        <f>"プロジェクター"</f>
        <v>プロジェクター</v>
      </c>
      <c r="F1155" s="2" t="str">
        <f t="shared" si="312"/>
        <v>０００１</v>
      </c>
      <c r="G1155" s="2" t="str">
        <f>"3620004198"</f>
        <v>3620004198</v>
      </c>
      <c r="H1155" s="2" t="str">
        <f t="shared" si="309"/>
        <v>001</v>
      </c>
      <c r="I1155" s="2" t="str">
        <f t="shared" si="313"/>
        <v>4100401</v>
      </c>
      <c r="J1155" s="2">
        <f>260800</f>
        <v>260800</v>
      </c>
      <c r="K1155" s="2" t="str">
        <f t="shared" si="308"/>
        <v>個</v>
      </c>
      <c r="L1155" s="2" t="str">
        <f t="shared" si="305"/>
        <v>3630331</v>
      </c>
      <c r="M1155" s="2" t="str">
        <f>""</f>
        <v/>
      </c>
    </row>
    <row r="1156" spans="1:13" x14ac:dyDescent="0.15">
      <c r="A1156" s="2" t="str">
        <f t="shared" si="296"/>
        <v>1881110500</v>
      </c>
      <c r="B1156" s="2" t="str">
        <f t="shared" si="297"/>
        <v>佐伯・区政調整</v>
      </c>
      <c r="C1156" s="2" t="str">
        <f t="shared" si="310"/>
        <v>03ｼ00703</v>
      </c>
      <c r="D1156" s="2" t="str">
        <f t="shared" si="311"/>
        <v>スポットライト</v>
      </c>
      <c r="E1156" s="3" t="str">
        <f>"プロジェクター"</f>
        <v>プロジェクター</v>
      </c>
      <c r="F1156" s="2" t="str">
        <f t="shared" si="312"/>
        <v>０００１</v>
      </c>
      <c r="G1156" s="2" t="str">
        <f>"3620004199"</f>
        <v>3620004199</v>
      </c>
      <c r="H1156" s="2" t="str">
        <f t="shared" si="309"/>
        <v>001</v>
      </c>
      <c r="I1156" s="2" t="str">
        <f t="shared" si="313"/>
        <v>4100401</v>
      </c>
      <c r="J1156" s="2">
        <f>260800</f>
        <v>260800</v>
      </c>
      <c r="K1156" s="2" t="str">
        <f t="shared" si="308"/>
        <v>個</v>
      </c>
      <c r="L1156" s="2" t="str">
        <f t="shared" si="305"/>
        <v>3630331</v>
      </c>
      <c r="M1156" s="2" t="str">
        <f>""</f>
        <v/>
      </c>
    </row>
    <row r="1157" spans="1:13" x14ac:dyDescent="0.15">
      <c r="A1157" s="2" t="str">
        <f t="shared" si="296"/>
        <v>1881110500</v>
      </c>
      <c r="B1157" s="2" t="str">
        <f t="shared" si="297"/>
        <v>佐伯・区政調整</v>
      </c>
      <c r="C1157" s="2" t="str">
        <f t="shared" si="310"/>
        <v>03ｼ00703</v>
      </c>
      <c r="D1157" s="2" t="str">
        <f t="shared" si="311"/>
        <v>スポットライト</v>
      </c>
      <c r="E1157" s="3" t="str">
        <f>"フットスポット"</f>
        <v>フットスポット</v>
      </c>
      <c r="F1157" s="2" t="str">
        <f t="shared" si="312"/>
        <v>０００１</v>
      </c>
      <c r="G1157" s="2" t="str">
        <f>"3620004200"</f>
        <v>3620004200</v>
      </c>
      <c r="H1157" s="2" t="str">
        <f t="shared" si="309"/>
        <v>001</v>
      </c>
      <c r="I1157" s="2" t="str">
        <f t="shared" si="313"/>
        <v>4100401</v>
      </c>
      <c r="J1157" s="2">
        <f>27400</f>
        <v>27400</v>
      </c>
      <c r="K1157" s="2" t="str">
        <f t="shared" si="308"/>
        <v>個</v>
      </c>
      <c r="L1157" s="2" t="str">
        <f t="shared" si="305"/>
        <v>3630331</v>
      </c>
      <c r="M1157" s="2" t="str">
        <f>""</f>
        <v/>
      </c>
    </row>
    <row r="1158" spans="1:13" x14ac:dyDescent="0.15">
      <c r="A1158" s="2" t="str">
        <f t="shared" si="296"/>
        <v>1881110500</v>
      </c>
      <c r="B1158" s="2" t="str">
        <f t="shared" si="297"/>
        <v>佐伯・区政調整</v>
      </c>
      <c r="C1158" s="2" t="str">
        <f t="shared" si="310"/>
        <v>03ｼ00703</v>
      </c>
      <c r="D1158" s="2" t="str">
        <f t="shared" si="311"/>
        <v>スポットライト</v>
      </c>
      <c r="E1158" s="3" t="str">
        <f>"フットスポット"</f>
        <v>フットスポット</v>
      </c>
      <c r="F1158" s="2" t="str">
        <f t="shared" si="312"/>
        <v>０００１</v>
      </c>
      <c r="G1158" s="2" t="str">
        <f>"3620004201"</f>
        <v>3620004201</v>
      </c>
      <c r="H1158" s="2" t="str">
        <f t="shared" si="309"/>
        <v>001</v>
      </c>
      <c r="I1158" s="2" t="str">
        <f t="shared" si="313"/>
        <v>4100401</v>
      </c>
      <c r="J1158" s="2">
        <f>27400</f>
        <v>27400</v>
      </c>
      <c r="K1158" s="2" t="str">
        <f t="shared" si="308"/>
        <v>個</v>
      </c>
      <c r="L1158" s="2" t="str">
        <f t="shared" si="305"/>
        <v>3630331</v>
      </c>
      <c r="M1158" s="2" t="str">
        <f>""</f>
        <v/>
      </c>
    </row>
    <row r="1159" spans="1:13" x14ac:dyDescent="0.15">
      <c r="A1159" s="2" t="str">
        <f t="shared" si="296"/>
        <v>1881110500</v>
      </c>
      <c r="B1159" s="2" t="str">
        <f t="shared" si="297"/>
        <v>佐伯・区政調整</v>
      </c>
      <c r="C1159" s="2" t="str">
        <f t="shared" si="310"/>
        <v>03ｼ00703</v>
      </c>
      <c r="D1159" s="2" t="str">
        <f t="shared" si="311"/>
        <v>スポットライト</v>
      </c>
      <c r="E1159" s="3" t="str">
        <f>"フットスポット"</f>
        <v>フットスポット</v>
      </c>
      <c r="F1159" s="2" t="str">
        <f t="shared" si="312"/>
        <v>０００１</v>
      </c>
      <c r="G1159" s="2" t="str">
        <f>"3620004202"</f>
        <v>3620004202</v>
      </c>
      <c r="H1159" s="2" t="str">
        <f t="shared" si="309"/>
        <v>001</v>
      </c>
      <c r="I1159" s="2" t="str">
        <f t="shared" si="313"/>
        <v>4100401</v>
      </c>
      <c r="J1159" s="2">
        <f>27400</f>
        <v>27400</v>
      </c>
      <c r="K1159" s="2" t="str">
        <f t="shared" si="308"/>
        <v>個</v>
      </c>
      <c r="L1159" s="2" t="str">
        <f t="shared" si="305"/>
        <v>3630331</v>
      </c>
      <c r="M1159" s="2" t="str">
        <f>""</f>
        <v/>
      </c>
    </row>
    <row r="1160" spans="1:13" x14ac:dyDescent="0.15">
      <c r="A1160" s="2" t="str">
        <f t="shared" si="296"/>
        <v>1881110500</v>
      </c>
      <c r="B1160" s="2" t="str">
        <f t="shared" si="297"/>
        <v>佐伯・区政調整</v>
      </c>
      <c r="C1160" s="2" t="str">
        <f t="shared" si="310"/>
        <v>03ｼ00703</v>
      </c>
      <c r="D1160" s="2" t="str">
        <f t="shared" si="311"/>
        <v>スポットライト</v>
      </c>
      <c r="E1160" s="3" t="str">
        <f>"フットスポット"</f>
        <v>フットスポット</v>
      </c>
      <c r="F1160" s="2" t="str">
        <f t="shared" si="312"/>
        <v>０００１</v>
      </c>
      <c r="G1160" s="2" t="str">
        <f>"3620004203"</f>
        <v>3620004203</v>
      </c>
      <c r="H1160" s="2" t="str">
        <f t="shared" si="309"/>
        <v>001</v>
      </c>
      <c r="I1160" s="2" t="str">
        <f t="shared" si="313"/>
        <v>4100401</v>
      </c>
      <c r="J1160" s="2">
        <f>27400</f>
        <v>27400</v>
      </c>
      <c r="K1160" s="2" t="str">
        <f t="shared" si="308"/>
        <v>個</v>
      </c>
      <c r="L1160" s="2" t="str">
        <f t="shared" si="305"/>
        <v>3630331</v>
      </c>
      <c r="M1160" s="2" t="str">
        <f>""</f>
        <v/>
      </c>
    </row>
    <row r="1161" spans="1:13" x14ac:dyDescent="0.15">
      <c r="A1161" s="2" t="str">
        <f t="shared" si="296"/>
        <v>1881110500</v>
      </c>
      <c r="B1161" s="2" t="str">
        <f t="shared" si="297"/>
        <v>佐伯・区政調整</v>
      </c>
      <c r="C1161" s="2" t="str">
        <f t="shared" si="310"/>
        <v>03ｼ00703</v>
      </c>
      <c r="D1161" s="2" t="str">
        <f t="shared" si="311"/>
        <v>スポットライト</v>
      </c>
      <c r="E1161" s="3" t="str">
        <f t="shared" ref="E1161:E1169" si="314">"ＲＤＳ　ＡＱＦ‐１０Ｂ"</f>
        <v>ＲＤＳ　ＡＱＦ‐１０Ｂ</v>
      </c>
      <c r="F1161" s="2" t="str">
        <f t="shared" si="312"/>
        <v>０００１</v>
      </c>
      <c r="G1161" s="2" t="str">
        <f>"4070003499"</f>
        <v>4070003499</v>
      </c>
      <c r="H1161" s="2" t="str">
        <f t="shared" si="309"/>
        <v>001</v>
      </c>
      <c r="I1161" s="2" t="str">
        <f t="shared" si="313"/>
        <v>4100401</v>
      </c>
      <c r="J1161" s="2">
        <f t="shared" ref="J1161:J1169" si="315">468135</f>
        <v>468135</v>
      </c>
      <c r="K1161" s="2" t="str">
        <f t="shared" si="308"/>
        <v>個</v>
      </c>
      <c r="L1161" s="2" t="str">
        <f t="shared" ref="L1161:L1169" si="316">"4080315"</f>
        <v>4080315</v>
      </c>
      <c r="M1161" s="2" t="str">
        <f t="shared" ref="M1161:M1169" si="317">"4080315"</f>
        <v>4080315</v>
      </c>
    </row>
    <row r="1162" spans="1:13" x14ac:dyDescent="0.15">
      <c r="A1162" s="2" t="str">
        <f t="shared" si="296"/>
        <v>1881110500</v>
      </c>
      <c r="B1162" s="2" t="str">
        <f t="shared" si="297"/>
        <v>佐伯・区政調整</v>
      </c>
      <c r="C1162" s="2" t="str">
        <f t="shared" si="310"/>
        <v>03ｼ00703</v>
      </c>
      <c r="D1162" s="2" t="str">
        <f t="shared" si="311"/>
        <v>スポットライト</v>
      </c>
      <c r="E1162" s="3" t="str">
        <f t="shared" si="314"/>
        <v>ＲＤＳ　ＡＱＦ‐１０Ｂ</v>
      </c>
      <c r="F1162" s="2" t="str">
        <f t="shared" si="312"/>
        <v>０００１</v>
      </c>
      <c r="G1162" s="2" t="str">
        <f>"4070003500"</f>
        <v>4070003500</v>
      </c>
      <c r="H1162" s="2" t="str">
        <f t="shared" si="309"/>
        <v>001</v>
      </c>
      <c r="I1162" s="2" t="str">
        <f t="shared" si="313"/>
        <v>4100401</v>
      </c>
      <c r="J1162" s="2">
        <f t="shared" si="315"/>
        <v>468135</v>
      </c>
      <c r="K1162" s="2" t="str">
        <f t="shared" si="308"/>
        <v>個</v>
      </c>
      <c r="L1162" s="2" t="str">
        <f t="shared" si="316"/>
        <v>4080315</v>
      </c>
      <c r="M1162" s="2" t="str">
        <f t="shared" si="317"/>
        <v>4080315</v>
      </c>
    </row>
    <row r="1163" spans="1:13" x14ac:dyDescent="0.15">
      <c r="A1163" s="2" t="str">
        <f t="shared" si="296"/>
        <v>1881110500</v>
      </c>
      <c r="B1163" s="2" t="str">
        <f t="shared" si="297"/>
        <v>佐伯・区政調整</v>
      </c>
      <c r="C1163" s="2" t="str">
        <f t="shared" si="310"/>
        <v>03ｼ00703</v>
      </c>
      <c r="D1163" s="2" t="str">
        <f t="shared" si="311"/>
        <v>スポットライト</v>
      </c>
      <c r="E1163" s="3" t="str">
        <f t="shared" si="314"/>
        <v>ＲＤＳ　ＡＱＦ‐１０Ｂ</v>
      </c>
      <c r="F1163" s="2" t="str">
        <f t="shared" si="312"/>
        <v>０００１</v>
      </c>
      <c r="G1163" s="2" t="str">
        <f>"4070003501"</f>
        <v>4070003501</v>
      </c>
      <c r="H1163" s="2" t="str">
        <f t="shared" si="309"/>
        <v>001</v>
      </c>
      <c r="I1163" s="2" t="str">
        <f t="shared" si="313"/>
        <v>4100401</v>
      </c>
      <c r="J1163" s="2">
        <f t="shared" si="315"/>
        <v>468135</v>
      </c>
      <c r="K1163" s="2" t="str">
        <f t="shared" si="308"/>
        <v>個</v>
      </c>
      <c r="L1163" s="2" t="str">
        <f t="shared" si="316"/>
        <v>4080315</v>
      </c>
      <c r="M1163" s="2" t="str">
        <f t="shared" si="317"/>
        <v>4080315</v>
      </c>
    </row>
    <row r="1164" spans="1:13" x14ac:dyDescent="0.15">
      <c r="A1164" s="2" t="str">
        <f t="shared" si="296"/>
        <v>1881110500</v>
      </c>
      <c r="B1164" s="2" t="str">
        <f t="shared" si="297"/>
        <v>佐伯・区政調整</v>
      </c>
      <c r="C1164" s="2" t="str">
        <f t="shared" si="310"/>
        <v>03ｼ00703</v>
      </c>
      <c r="D1164" s="2" t="str">
        <f t="shared" si="311"/>
        <v>スポットライト</v>
      </c>
      <c r="E1164" s="3" t="str">
        <f t="shared" si="314"/>
        <v>ＲＤＳ　ＡＱＦ‐１０Ｂ</v>
      </c>
      <c r="F1164" s="2" t="str">
        <f t="shared" si="312"/>
        <v>０００１</v>
      </c>
      <c r="G1164" s="2" t="str">
        <f>"4070003502"</f>
        <v>4070003502</v>
      </c>
      <c r="H1164" s="2" t="str">
        <f t="shared" si="309"/>
        <v>001</v>
      </c>
      <c r="I1164" s="2" t="str">
        <f t="shared" si="313"/>
        <v>4100401</v>
      </c>
      <c r="J1164" s="2">
        <f t="shared" si="315"/>
        <v>468135</v>
      </c>
      <c r="K1164" s="2" t="str">
        <f t="shared" si="308"/>
        <v>個</v>
      </c>
      <c r="L1164" s="2" t="str">
        <f t="shared" si="316"/>
        <v>4080315</v>
      </c>
      <c r="M1164" s="2" t="str">
        <f t="shared" si="317"/>
        <v>4080315</v>
      </c>
    </row>
    <row r="1165" spans="1:13" x14ac:dyDescent="0.15">
      <c r="A1165" s="2" t="str">
        <f t="shared" si="296"/>
        <v>1881110500</v>
      </c>
      <c r="B1165" s="2" t="str">
        <f t="shared" si="297"/>
        <v>佐伯・区政調整</v>
      </c>
      <c r="C1165" s="2" t="str">
        <f t="shared" si="310"/>
        <v>03ｼ00703</v>
      </c>
      <c r="D1165" s="2" t="str">
        <f t="shared" si="311"/>
        <v>スポットライト</v>
      </c>
      <c r="E1165" s="3" t="str">
        <f t="shared" si="314"/>
        <v>ＲＤＳ　ＡＱＦ‐１０Ｂ</v>
      </c>
      <c r="F1165" s="2" t="str">
        <f t="shared" si="312"/>
        <v>０００１</v>
      </c>
      <c r="G1165" s="2" t="str">
        <f>"4070003503"</f>
        <v>4070003503</v>
      </c>
      <c r="H1165" s="2" t="str">
        <f t="shared" si="309"/>
        <v>001</v>
      </c>
      <c r="I1165" s="2" t="str">
        <f t="shared" si="313"/>
        <v>4100401</v>
      </c>
      <c r="J1165" s="2">
        <f t="shared" si="315"/>
        <v>468135</v>
      </c>
      <c r="K1165" s="2" t="str">
        <f t="shared" si="308"/>
        <v>個</v>
      </c>
      <c r="L1165" s="2" t="str">
        <f t="shared" si="316"/>
        <v>4080315</v>
      </c>
      <c r="M1165" s="2" t="str">
        <f t="shared" si="317"/>
        <v>4080315</v>
      </c>
    </row>
    <row r="1166" spans="1:13" x14ac:dyDescent="0.15">
      <c r="A1166" s="2" t="str">
        <f t="shared" ref="A1166:A1210" si="318">"1881110500"</f>
        <v>1881110500</v>
      </c>
      <c r="B1166" s="2" t="str">
        <f t="shared" ref="B1166:B1210" si="319">"佐伯・区政調整"</f>
        <v>佐伯・区政調整</v>
      </c>
      <c r="C1166" s="2" t="str">
        <f t="shared" si="310"/>
        <v>03ｼ00703</v>
      </c>
      <c r="D1166" s="2" t="str">
        <f t="shared" si="311"/>
        <v>スポットライト</v>
      </c>
      <c r="E1166" s="3" t="str">
        <f t="shared" si="314"/>
        <v>ＲＤＳ　ＡＱＦ‐１０Ｂ</v>
      </c>
      <c r="F1166" s="2" t="str">
        <f t="shared" si="312"/>
        <v>０００１</v>
      </c>
      <c r="G1166" s="2" t="str">
        <f>"4070003504"</f>
        <v>4070003504</v>
      </c>
      <c r="H1166" s="2" t="str">
        <f t="shared" si="309"/>
        <v>001</v>
      </c>
      <c r="I1166" s="2" t="str">
        <f t="shared" si="313"/>
        <v>4100401</v>
      </c>
      <c r="J1166" s="2">
        <f t="shared" si="315"/>
        <v>468135</v>
      </c>
      <c r="K1166" s="2" t="str">
        <f t="shared" si="308"/>
        <v>個</v>
      </c>
      <c r="L1166" s="2" t="str">
        <f t="shared" si="316"/>
        <v>4080315</v>
      </c>
      <c r="M1166" s="2" t="str">
        <f t="shared" si="317"/>
        <v>4080315</v>
      </c>
    </row>
    <row r="1167" spans="1:13" x14ac:dyDescent="0.15">
      <c r="A1167" s="2" t="str">
        <f t="shared" si="318"/>
        <v>1881110500</v>
      </c>
      <c r="B1167" s="2" t="str">
        <f t="shared" si="319"/>
        <v>佐伯・区政調整</v>
      </c>
      <c r="C1167" s="2" t="str">
        <f t="shared" si="310"/>
        <v>03ｼ00703</v>
      </c>
      <c r="D1167" s="2" t="str">
        <f t="shared" si="311"/>
        <v>スポットライト</v>
      </c>
      <c r="E1167" s="3" t="str">
        <f t="shared" si="314"/>
        <v>ＲＤＳ　ＡＱＦ‐１０Ｂ</v>
      </c>
      <c r="F1167" s="2" t="str">
        <f t="shared" si="312"/>
        <v>０００１</v>
      </c>
      <c r="G1167" s="2" t="str">
        <f>"4070003505"</f>
        <v>4070003505</v>
      </c>
      <c r="H1167" s="2" t="str">
        <f t="shared" si="309"/>
        <v>001</v>
      </c>
      <c r="I1167" s="2" t="str">
        <f t="shared" si="313"/>
        <v>4100401</v>
      </c>
      <c r="J1167" s="2">
        <f t="shared" si="315"/>
        <v>468135</v>
      </c>
      <c r="K1167" s="2" t="str">
        <f t="shared" si="308"/>
        <v>個</v>
      </c>
      <c r="L1167" s="2" t="str">
        <f t="shared" si="316"/>
        <v>4080315</v>
      </c>
      <c r="M1167" s="2" t="str">
        <f t="shared" si="317"/>
        <v>4080315</v>
      </c>
    </row>
    <row r="1168" spans="1:13" x14ac:dyDescent="0.15">
      <c r="A1168" s="2" t="str">
        <f t="shared" si="318"/>
        <v>1881110500</v>
      </c>
      <c r="B1168" s="2" t="str">
        <f t="shared" si="319"/>
        <v>佐伯・区政調整</v>
      </c>
      <c r="C1168" s="2" t="str">
        <f t="shared" si="310"/>
        <v>03ｼ00703</v>
      </c>
      <c r="D1168" s="2" t="str">
        <f t="shared" si="311"/>
        <v>スポットライト</v>
      </c>
      <c r="E1168" s="3" t="str">
        <f t="shared" si="314"/>
        <v>ＲＤＳ　ＡＱＦ‐１０Ｂ</v>
      </c>
      <c r="F1168" s="2" t="str">
        <f t="shared" si="312"/>
        <v>０００１</v>
      </c>
      <c r="G1168" s="2" t="str">
        <f>"4070003506"</f>
        <v>4070003506</v>
      </c>
      <c r="H1168" s="2" t="str">
        <f t="shared" si="309"/>
        <v>001</v>
      </c>
      <c r="I1168" s="2" t="str">
        <f t="shared" si="313"/>
        <v>4100401</v>
      </c>
      <c r="J1168" s="2">
        <f t="shared" si="315"/>
        <v>468135</v>
      </c>
      <c r="K1168" s="2" t="str">
        <f t="shared" si="308"/>
        <v>個</v>
      </c>
      <c r="L1168" s="2" t="str">
        <f t="shared" si="316"/>
        <v>4080315</v>
      </c>
      <c r="M1168" s="2" t="str">
        <f t="shared" si="317"/>
        <v>4080315</v>
      </c>
    </row>
    <row r="1169" spans="1:13" x14ac:dyDescent="0.15">
      <c r="A1169" s="2" t="str">
        <f t="shared" si="318"/>
        <v>1881110500</v>
      </c>
      <c r="B1169" s="2" t="str">
        <f t="shared" si="319"/>
        <v>佐伯・区政調整</v>
      </c>
      <c r="C1169" s="2" t="str">
        <f t="shared" si="310"/>
        <v>03ｼ00703</v>
      </c>
      <c r="D1169" s="2" t="str">
        <f t="shared" si="311"/>
        <v>スポットライト</v>
      </c>
      <c r="E1169" s="3" t="str">
        <f t="shared" si="314"/>
        <v>ＲＤＳ　ＡＱＦ‐１０Ｂ</v>
      </c>
      <c r="F1169" s="2" t="str">
        <f t="shared" si="312"/>
        <v>０００１</v>
      </c>
      <c r="G1169" s="2" t="str">
        <f>"4070003507"</f>
        <v>4070003507</v>
      </c>
      <c r="H1169" s="2" t="str">
        <f t="shared" si="309"/>
        <v>001</v>
      </c>
      <c r="I1169" s="2" t="str">
        <f t="shared" si="313"/>
        <v>4100401</v>
      </c>
      <c r="J1169" s="2">
        <f t="shared" si="315"/>
        <v>468135</v>
      </c>
      <c r="K1169" s="2" t="str">
        <f t="shared" si="308"/>
        <v>個</v>
      </c>
      <c r="L1169" s="2" t="str">
        <f t="shared" si="316"/>
        <v>4080315</v>
      </c>
      <c r="M1169" s="2" t="str">
        <f t="shared" si="317"/>
        <v>4080315</v>
      </c>
    </row>
    <row r="1170" spans="1:13" x14ac:dyDescent="0.15">
      <c r="A1170" s="2" t="str">
        <f t="shared" si="318"/>
        <v>1881110500</v>
      </c>
      <c r="B1170" s="2" t="str">
        <f t="shared" si="319"/>
        <v>佐伯・区政調整</v>
      </c>
      <c r="C1170" s="2" t="str">
        <f t="shared" si="310"/>
        <v>03ｼ00703</v>
      </c>
      <c r="D1170" s="2" t="str">
        <f t="shared" si="311"/>
        <v>スポットライト</v>
      </c>
      <c r="E1170" s="3" t="str">
        <f>"ソースフォー４２６"</f>
        <v>ソースフォー４２６</v>
      </c>
      <c r="F1170" s="2" t="str">
        <f t="shared" si="312"/>
        <v>０００１</v>
      </c>
      <c r="G1170" s="2" t="str">
        <f>"4210005563"</f>
        <v>4210005563</v>
      </c>
      <c r="H1170" s="2" t="str">
        <f t="shared" si="309"/>
        <v>001</v>
      </c>
      <c r="I1170" s="2" t="str">
        <f t="shared" ref="I1170:I1175" si="320">"4211006"</f>
        <v>4211006</v>
      </c>
      <c r="J1170" s="2">
        <f t="shared" ref="J1170:J1175" si="321">76072</f>
        <v>76072</v>
      </c>
      <c r="K1170" s="2" t="str">
        <f t="shared" si="308"/>
        <v>個</v>
      </c>
      <c r="L1170" s="2" t="str">
        <f t="shared" ref="L1170:L1175" si="322">"4211006"</f>
        <v>4211006</v>
      </c>
      <c r="M1170" s="2" t="str">
        <f t="shared" ref="M1170:M1175" si="323">"4211006"</f>
        <v>4211006</v>
      </c>
    </row>
    <row r="1171" spans="1:13" x14ac:dyDescent="0.15">
      <c r="A1171" s="2" t="str">
        <f t="shared" si="318"/>
        <v>1881110500</v>
      </c>
      <c r="B1171" s="2" t="str">
        <f t="shared" si="319"/>
        <v>佐伯・区政調整</v>
      </c>
      <c r="C1171" s="2" t="str">
        <f t="shared" si="310"/>
        <v>03ｼ00703</v>
      </c>
      <c r="D1171" s="2" t="str">
        <f t="shared" si="311"/>
        <v>スポットライト</v>
      </c>
      <c r="E1171" s="3" t="str">
        <f>"ソースフォー４２６"</f>
        <v>ソースフォー４２６</v>
      </c>
      <c r="F1171" s="2" t="str">
        <f t="shared" si="312"/>
        <v>０００１</v>
      </c>
      <c r="G1171" s="2" t="str">
        <f>"4210005564"</f>
        <v>4210005564</v>
      </c>
      <c r="H1171" s="2" t="str">
        <f t="shared" si="309"/>
        <v>001</v>
      </c>
      <c r="I1171" s="2" t="str">
        <f t="shared" si="320"/>
        <v>4211006</v>
      </c>
      <c r="J1171" s="2">
        <f t="shared" si="321"/>
        <v>76072</v>
      </c>
      <c r="K1171" s="2" t="str">
        <f t="shared" si="308"/>
        <v>個</v>
      </c>
      <c r="L1171" s="2" t="str">
        <f t="shared" si="322"/>
        <v>4211006</v>
      </c>
      <c r="M1171" s="2" t="str">
        <f t="shared" si="323"/>
        <v>4211006</v>
      </c>
    </row>
    <row r="1172" spans="1:13" x14ac:dyDescent="0.15">
      <c r="A1172" s="2" t="str">
        <f t="shared" si="318"/>
        <v>1881110500</v>
      </c>
      <c r="B1172" s="2" t="str">
        <f t="shared" si="319"/>
        <v>佐伯・区政調整</v>
      </c>
      <c r="C1172" s="2" t="str">
        <f t="shared" si="310"/>
        <v>03ｼ00703</v>
      </c>
      <c r="D1172" s="2" t="str">
        <f t="shared" si="311"/>
        <v>スポットライト</v>
      </c>
      <c r="E1172" s="3" t="str">
        <f>"ソースフォー４２６"</f>
        <v>ソースフォー４２６</v>
      </c>
      <c r="F1172" s="2" t="str">
        <f t="shared" si="312"/>
        <v>０００１</v>
      </c>
      <c r="G1172" s="2" t="str">
        <f>"4210005565"</f>
        <v>4210005565</v>
      </c>
      <c r="H1172" s="2" t="str">
        <f t="shared" si="309"/>
        <v>001</v>
      </c>
      <c r="I1172" s="2" t="str">
        <f t="shared" si="320"/>
        <v>4211006</v>
      </c>
      <c r="J1172" s="2">
        <f t="shared" si="321"/>
        <v>76072</v>
      </c>
      <c r="K1172" s="2" t="str">
        <f t="shared" si="308"/>
        <v>個</v>
      </c>
      <c r="L1172" s="2" t="str">
        <f t="shared" si="322"/>
        <v>4211006</v>
      </c>
      <c r="M1172" s="2" t="str">
        <f t="shared" si="323"/>
        <v>4211006</v>
      </c>
    </row>
    <row r="1173" spans="1:13" x14ac:dyDescent="0.15">
      <c r="A1173" s="2" t="str">
        <f t="shared" si="318"/>
        <v>1881110500</v>
      </c>
      <c r="B1173" s="2" t="str">
        <f t="shared" si="319"/>
        <v>佐伯・区政調整</v>
      </c>
      <c r="C1173" s="2" t="str">
        <f t="shared" si="310"/>
        <v>03ｼ00703</v>
      </c>
      <c r="D1173" s="2" t="str">
        <f t="shared" si="311"/>
        <v>スポットライト</v>
      </c>
      <c r="E1173" s="3" t="str">
        <f>"ソースフォー４２６"</f>
        <v>ソースフォー４２６</v>
      </c>
      <c r="F1173" s="2" t="str">
        <f t="shared" si="312"/>
        <v>０００１</v>
      </c>
      <c r="G1173" s="2" t="str">
        <f>"4210005566"</f>
        <v>4210005566</v>
      </c>
      <c r="H1173" s="2" t="str">
        <f t="shared" si="309"/>
        <v>001</v>
      </c>
      <c r="I1173" s="2" t="str">
        <f t="shared" si="320"/>
        <v>4211006</v>
      </c>
      <c r="J1173" s="2">
        <f t="shared" si="321"/>
        <v>76072</v>
      </c>
      <c r="K1173" s="2" t="str">
        <f t="shared" si="308"/>
        <v>個</v>
      </c>
      <c r="L1173" s="2" t="str">
        <f t="shared" si="322"/>
        <v>4211006</v>
      </c>
      <c r="M1173" s="2" t="str">
        <f t="shared" si="323"/>
        <v>4211006</v>
      </c>
    </row>
    <row r="1174" spans="1:13" x14ac:dyDescent="0.15">
      <c r="A1174" s="2" t="str">
        <f t="shared" si="318"/>
        <v>1881110500</v>
      </c>
      <c r="B1174" s="2" t="str">
        <f t="shared" si="319"/>
        <v>佐伯・区政調整</v>
      </c>
      <c r="C1174" s="2" t="str">
        <f t="shared" si="310"/>
        <v>03ｼ00703</v>
      </c>
      <c r="D1174" s="2" t="str">
        <f t="shared" si="311"/>
        <v>スポットライト</v>
      </c>
      <c r="E1174" s="3" t="str">
        <f>"ソースフォー４３６"</f>
        <v>ソースフォー４３６</v>
      </c>
      <c r="F1174" s="2" t="str">
        <f t="shared" si="312"/>
        <v>０００１</v>
      </c>
      <c r="G1174" s="2" t="str">
        <f>"4210005567"</f>
        <v>4210005567</v>
      </c>
      <c r="H1174" s="2" t="str">
        <f t="shared" si="309"/>
        <v>001</v>
      </c>
      <c r="I1174" s="2" t="str">
        <f t="shared" si="320"/>
        <v>4211006</v>
      </c>
      <c r="J1174" s="2">
        <f t="shared" si="321"/>
        <v>76072</v>
      </c>
      <c r="K1174" s="2" t="str">
        <f t="shared" si="308"/>
        <v>個</v>
      </c>
      <c r="L1174" s="2" t="str">
        <f t="shared" si="322"/>
        <v>4211006</v>
      </c>
      <c r="M1174" s="2" t="str">
        <f t="shared" si="323"/>
        <v>4211006</v>
      </c>
    </row>
    <row r="1175" spans="1:13" x14ac:dyDescent="0.15">
      <c r="A1175" s="2" t="str">
        <f t="shared" si="318"/>
        <v>1881110500</v>
      </c>
      <c r="B1175" s="2" t="str">
        <f t="shared" si="319"/>
        <v>佐伯・区政調整</v>
      </c>
      <c r="C1175" s="2" t="str">
        <f t="shared" si="310"/>
        <v>03ｼ00703</v>
      </c>
      <c r="D1175" s="2" t="str">
        <f t="shared" si="311"/>
        <v>スポットライト</v>
      </c>
      <c r="E1175" s="3" t="str">
        <f>"ソースフォー４３６"</f>
        <v>ソースフォー４３６</v>
      </c>
      <c r="F1175" s="2" t="str">
        <f t="shared" si="312"/>
        <v>０００１</v>
      </c>
      <c r="G1175" s="2" t="str">
        <f>"4210005568"</f>
        <v>4210005568</v>
      </c>
      <c r="H1175" s="2" t="str">
        <f t="shared" si="309"/>
        <v>001</v>
      </c>
      <c r="I1175" s="2" t="str">
        <f t="shared" si="320"/>
        <v>4211006</v>
      </c>
      <c r="J1175" s="2">
        <f t="shared" si="321"/>
        <v>76072</v>
      </c>
      <c r="K1175" s="2" t="str">
        <f t="shared" si="308"/>
        <v>個</v>
      </c>
      <c r="L1175" s="2" t="str">
        <f t="shared" si="322"/>
        <v>4211006</v>
      </c>
      <c r="M1175" s="2" t="str">
        <f t="shared" si="323"/>
        <v>4211006</v>
      </c>
    </row>
    <row r="1176" spans="1:13" x14ac:dyDescent="0.15">
      <c r="A1176" s="2" t="str">
        <f t="shared" si="318"/>
        <v>1881110500</v>
      </c>
      <c r="B1176" s="2" t="str">
        <f t="shared" si="319"/>
        <v>佐伯・区政調整</v>
      </c>
      <c r="C1176" s="2" t="str">
        <f>"03ｼ05401"</f>
        <v>03ｼ05401</v>
      </c>
      <c r="D1176" s="2" t="str">
        <f>"除湿機"</f>
        <v>除湿機</v>
      </c>
      <c r="E1176" s="3" t="str">
        <f>"Ｆ－ＹＺＧ１００"</f>
        <v>Ｆ－ＹＺＧ１００</v>
      </c>
      <c r="F1176" s="2" t="str">
        <f t="shared" si="312"/>
        <v>０００１</v>
      </c>
      <c r="G1176" s="2" t="str">
        <f>"4230003793"</f>
        <v>4230003793</v>
      </c>
      <c r="H1176" s="2" t="str">
        <f t="shared" si="309"/>
        <v>001</v>
      </c>
      <c r="I1176" s="2" t="str">
        <f>"4240307"</f>
        <v>4240307</v>
      </c>
      <c r="J1176" s="2">
        <f>32000</f>
        <v>32000</v>
      </c>
      <c r="K1176" s="2" t="str">
        <f>"台"</f>
        <v>台</v>
      </c>
      <c r="L1176" s="2" t="str">
        <f>"4240307"</f>
        <v>4240307</v>
      </c>
      <c r="M1176" s="2" t="str">
        <f>"4240307"</f>
        <v>4240307</v>
      </c>
    </row>
    <row r="1177" spans="1:13" x14ac:dyDescent="0.15">
      <c r="A1177" s="2" t="str">
        <f t="shared" si="318"/>
        <v>1881110500</v>
      </c>
      <c r="B1177" s="2" t="str">
        <f t="shared" si="319"/>
        <v>佐伯・区政調整</v>
      </c>
      <c r="C1177" s="2" t="str">
        <f>"03ｽ00201"</f>
        <v>03ｽ00201</v>
      </c>
      <c r="D1177" s="2" t="str">
        <f>"スクリーン"</f>
        <v>スクリーン</v>
      </c>
      <c r="E1177" s="3" t="str">
        <f>"三脚式　１５００×１５００"</f>
        <v>三脚式　１５００×１５００</v>
      </c>
      <c r="F1177" s="2" t="str">
        <f t="shared" si="312"/>
        <v>０００１</v>
      </c>
      <c r="G1177" s="2" t="str">
        <f>"3620004204"</f>
        <v>3620004204</v>
      </c>
      <c r="H1177" s="2" t="str">
        <f t="shared" si="309"/>
        <v>001</v>
      </c>
      <c r="I1177" s="2" t="str">
        <f>"4100401"</f>
        <v>4100401</v>
      </c>
      <c r="J1177" s="2">
        <f>29000</f>
        <v>29000</v>
      </c>
      <c r="K1177" s="2" t="str">
        <f>"枚"</f>
        <v>枚</v>
      </c>
      <c r="L1177" s="2" t="str">
        <f>"3630331"</f>
        <v>3630331</v>
      </c>
      <c r="M1177" s="2" t="str">
        <f>""</f>
        <v/>
      </c>
    </row>
    <row r="1178" spans="1:13" x14ac:dyDescent="0.15">
      <c r="A1178" s="2" t="str">
        <f t="shared" si="318"/>
        <v>1881110500</v>
      </c>
      <c r="B1178" s="2" t="str">
        <f t="shared" si="319"/>
        <v>佐伯・区政調整</v>
      </c>
      <c r="C1178" s="2" t="str">
        <f t="shared" ref="C1178:C1191" si="324">"03ｽ01501"</f>
        <v>03ｽ01501</v>
      </c>
      <c r="D1178" s="2" t="str">
        <f t="shared" ref="D1178:D1191" si="325">"スタンド"</f>
        <v>スタンド</v>
      </c>
      <c r="E1178" s="3" t="str">
        <f t="shared" ref="E1178:E1187" si="326">"キャスター付"</f>
        <v>キャスター付</v>
      </c>
      <c r="F1178" s="2" t="str">
        <f t="shared" ref="F1178:F1193" si="327">"０００１"</f>
        <v>０００１</v>
      </c>
      <c r="G1178" s="2" t="str">
        <f>"3620004205"</f>
        <v>3620004205</v>
      </c>
      <c r="H1178" s="2" t="str">
        <f t="shared" si="309"/>
        <v>001</v>
      </c>
      <c r="I1178" s="2" t="str">
        <f t="shared" ref="I1178:I1191" si="328">"4100401"</f>
        <v>4100401</v>
      </c>
      <c r="J1178" s="2">
        <f>24900</f>
        <v>24900</v>
      </c>
      <c r="K1178" s="2" t="str">
        <f t="shared" ref="K1178:K1191" si="329">"個"</f>
        <v>個</v>
      </c>
      <c r="L1178" s="2" t="str">
        <f t="shared" ref="L1178:L1191" si="330">"3630331"</f>
        <v>3630331</v>
      </c>
      <c r="M1178" s="2" t="str">
        <f>""</f>
        <v/>
      </c>
    </row>
    <row r="1179" spans="1:13" x14ac:dyDescent="0.15">
      <c r="A1179" s="2" t="str">
        <f t="shared" si="318"/>
        <v>1881110500</v>
      </c>
      <c r="B1179" s="2" t="str">
        <f t="shared" si="319"/>
        <v>佐伯・区政調整</v>
      </c>
      <c r="C1179" s="2" t="str">
        <f t="shared" si="324"/>
        <v>03ｽ01501</v>
      </c>
      <c r="D1179" s="2" t="str">
        <f t="shared" si="325"/>
        <v>スタンド</v>
      </c>
      <c r="E1179" s="3" t="str">
        <f t="shared" si="326"/>
        <v>キャスター付</v>
      </c>
      <c r="F1179" s="2" t="str">
        <f t="shared" si="327"/>
        <v>０００１</v>
      </c>
      <c r="G1179" s="2" t="str">
        <f>"3620004206"</f>
        <v>3620004206</v>
      </c>
      <c r="H1179" s="2" t="str">
        <f t="shared" ref="H1179:H1201" si="331">"001"</f>
        <v>001</v>
      </c>
      <c r="I1179" s="2" t="str">
        <f t="shared" si="328"/>
        <v>4100401</v>
      </c>
      <c r="J1179" s="2">
        <f>24900</f>
        <v>24900</v>
      </c>
      <c r="K1179" s="2" t="str">
        <f t="shared" si="329"/>
        <v>個</v>
      </c>
      <c r="L1179" s="2" t="str">
        <f t="shared" si="330"/>
        <v>3630331</v>
      </c>
      <c r="M1179" s="2" t="str">
        <f>""</f>
        <v/>
      </c>
    </row>
    <row r="1180" spans="1:13" x14ac:dyDescent="0.15">
      <c r="A1180" s="2" t="str">
        <f t="shared" si="318"/>
        <v>1881110500</v>
      </c>
      <c r="B1180" s="2" t="str">
        <f t="shared" si="319"/>
        <v>佐伯・区政調整</v>
      </c>
      <c r="C1180" s="2" t="str">
        <f t="shared" si="324"/>
        <v>03ｽ01501</v>
      </c>
      <c r="D1180" s="2" t="str">
        <f t="shared" si="325"/>
        <v>スタンド</v>
      </c>
      <c r="E1180" s="3" t="str">
        <f t="shared" si="326"/>
        <v>キャスター付</v>
      </c>
      <c r="F1180" s="2" t="str">
        <f t="shared" si="327"/>
        <v>０００１</v>
      </c>
      <c r="G1180" s="2" t="str">
        <f>"3620004207"</f>
        <v>3620004207</v>
      </c>
      <c r="H1180" s="2" t="str">
        <f t="shared" si="331"/>
        <v>001</v>
      </c>
      <c r="I1180" s="2" t="str">
        <f t="shared" si="328"/>
        <v>4100401</v>
      </c>
      <c r="J1180" s="2">
        <f>24900</f>
        <v>24900</v>
      </c>
      <c r="K1180" s="2" t="str">
        <f t="shared" si="329"/>
        <v>個</v>
      </c>
      <c r="L1180" s="2" t="str">
        <f t="shared" si="330"/>
        <v>3630331</v>
      </c>
      <c r="M1180" s="2" t="str">
        <f>""</f>
        <v/>
      </c>
    </row>
    <row r="1181" spans="1:13" x14ac:dyDescent="0.15">
      <c r="A1181" s="2" t="str">
        <f t="shared" si="318"/>
        <v>1881110500</v>
      </c>
      <c r="B1181" s="2" t="str">
        <f t="shared" si="319"/>
        <v>佐伯・区政調整</v>
      </c>
      <c r="C1181" s="2" t="str">
        <f t="shared" si="324"/>
        <v>03ｽ01501</v>
      </c>
      <c r="D1181" s="2" t="str">
        <f t="shared" si="325"/>
        <v>スタンド</v>
      </c>
      <c r="E1181" s="3" t="str">
        <f t="shared" si="326"/>
        <v>キャスター付</v>
      </c>
      <c r="F1181" s="2" t="str">
        <f t="shared" si="327"/>
        <v>０００１</v>
      </c>
      <c r="G1181" s="2" t="str">
        <f>"3620004208"</f>
        <v>3620004208</v>
      </c>
      <c r="H1181" s="2" t="str">
        <f t="shared" si="331"/>
        <v>001</v>
      </c>
      <c r="I1181" s="2" t="str">
        <f t="shared" si="328"/>
        <v>4100401</v>
      </c>
      <c r="J1181" s="2">
        <f>24900</f>
        <v>24900</v>
      </c>
      <c r="K1181" s="2" t="str">
        <f t="shared" si="329"/>
        <v>個</v>
      </c>
      <c r="L1181" s="2" t="str">
        <f t="shared" si="330"/>
        <v>3630331</v>
      </c>
      <c r="M1181" s="2" t="str">
        <f>""</f>
        <v/>
      </c>
    </row>
    <row r="1182" spans="1:13" x14ac:dyDescent="0.15">
      <c r="A1182" s="2" t="str">
        <f t="shared" si="318"/>
        <v>1881110500</v>
      </c>
      <c r="B1182" s="2" t="str">
        <f t="shared" si="319"/>
        <v>佐伯・区政調整</v>
      </c>
      <c r="C1182" s="2" t="str">
        <f t="shared" si="324"/>
        <v>03ｽ01501</v>
      </c>
      <c r="D1182" s="2" t="str">
        <f t="shared" si="325"/>
        <v>スタンド</v>
      </c>
      <c r="E1182" s="3" t="str">
        <f t="shared" si="326"/>
        <v>キャスター付</v>
      </c>
      <c r="F1182" s="2" t="str">
        <f t="shared" si="327"/>
        <v>０００１</v>
      </c>
      <c r="G1182" s="2" t="str">
        <f>"3620004209"</f>
        <v>3620004209</v>
      </c>
      <c r="H1182" s="2" t="str">
        <f t="shared" si="331"/>
        <v>001</v>
      </c>
      <c r="I1182" s="2" t="str">
        <f t="shared" si="328"/>
        <v>4100401</v>
      </c>
      <c r="J1182" s="2">
        <f>24900</f>
        <v>24900</v>
      </c>
      <c r="K1182" s="2" t="str">
        <f t="shared" si="329"/>
        <v>個</v>
      </c>
      <c r="L1182" s="2" t="str">
        <f t="shared" si="330"/>
        <v>3630331</v>
      </c>
      <c r="M1182" s="2" t="str">
        <f>""</f>
        <v/>
      </c>
    </row>
    <row r="1183" spans="1:13" x14ac:dyDescent="0.15">
      <c r="A1183" s="2" t="str">
        <f t="shared" si="318"/>
        <v>1881110500</v>
      </c>
      <c r="B1183" s="2" t="str">
        <f t="shared" si="319"/>
        <v>佐伯・区政調整</v>
      </c>
      <c r="C1183" s="2" t="str">
        <f t="shared" si="324"/>
        <v>03ｽ01501</v>
      </c>
      <c r="D1183" s="2" t="str">
        <f t="shared" si="325"/>
        <v>スタンド</v>
      </c>
      <c r="E1183" s="3" t="str">
        <f t="shared" si="326"/>
        <v>キャスター付</v>
      </c>
      <c r="F1183" s="2" t="str">
        <f t="shared" si="327"/>
        <v>０００１</v>
      </c>
      <c r="G1183" s="2" t="str">
        <f>"3620004210"</f>
        <v>3620004210</v>
      </c>
      <c r="H1183" s="2" t="str">
        <f t="shared" si="331"/>
        <v>001</v>
      </c>
      <c r="I1183" s="2" t="str">
        <f t="shared" si="328"/>
        <v>4100401</v>
      </c>
      <c r="J1183" s="2">
        <f>24900</f>
        <v>24900</v>
      </c>
      <c r="K1183" s="2" t="str">
        <f t="shared" si="329"/>
        <v>個</v>
      </c>
      <c r="L1183" s="2" t="str">
        <f t="shared" si="330"/>
        <v>3630331</v>
      </c>
      <c r="M1183" s="2" t="str">
        <f>""</f>
        <v/>
      </c>
    </row>
    <row r="1184" spans="1:13" x14ac:dyDescent="0.15">
      <c r="A1184" s="2" t="str">
        <f t="shared" si="318"/>
        <v>1881110500</v>
      </c>
      <c r="B1184" s="2" t="str">
        <f t="shared" si="319"/>
        <v>佐伯・区政調整</v>
      </c>
      <c r="C1184" s="2" t="str">
        <f t="shared" si="324"/>
        <v>03ｽ01501</v>
      </c>
      <c r="D1184" s="2" t="str">
        <f t="shared" si="325"/>
        <v>スタンド</v>
      </c>
      <c r="E1184" s="3" t="str">
        <f t="shared" si="326"/>
        <v>キャスター付</v>
      </c>
      <c r="F1184" s="2" t="str">
        <f t="shared" si="327"/>
        <v>０００１</v>
      </c>
      <c r="G1184" s="2" t="str">
        <f>"3620004211"</f>
        <v>3620004211</v>
      </c>
      <c r="H1184" s="2" t="str">
        <f t="shared" si="331"/>
        <v>001</v>
      </c>
      <c r="I1184" s="2" t="str">
        <f t="shared" si="328"/>
        <v>4100401</v>
      </c>
      <c r="J1184" s="2">
        <f>24900</f>
        <v>24900</v>
      </c>
      <c r="K1184" s="2" t="str">
        <f t="shared" si="329"/>
        <v>個</v>
      </c>
      <c r="L1184" s="2" t="str">
        <f t="shared" si="330"/>
        <v>3630331</v>
      </c>
      <c r="M1184" s="2" t="str">
        <f>""</f>
        <v/>
      </c>
    </row>
    <row r="1185" spans="1:13" x14ac:dyDescent="0.15">
      <c r="A1185" s="2" t="str">
        <f t="shared" si="318"/>
        <v>1881110500</v>
      </c>
      <c r="B1185" s="2" t="str">
        <f t="shared" si="319"/>
        <v>佐伯・区政調整</v>
      </c>
      <c r="C1185" s="2" t="str">
        <f t="shared" si="324"/>
        <v>03ｽ01501</v>
      </c>
      <c r="D1185" s="2" t="str">
        <f t="shared" si="325"/>
        <v>スタンド</v>
      </c>
      <c r="E1185" s="3" t="str">
        <f t="shared" si="326"/>
        <v>キャスター付</v>
      </c>
      <c r="F1185" s="2" t="str">
        <f t="shared" si="327"/>
        <v>０００１</v>
      </c>
      <c r="G1185" s="2" t="str">
        <f>"3620004212"</f>
        <v>3620004212</v>
      </c>
      <c r="H1185" s="2" t="str">
        <f t="shared" si="331"/>
        <v>001</v>
      </c>
      <c r="I1185" s="2" t="str">
        <f t="shared" si="328"/>
        <v>4100401</v>
      </c>
      <c r="J1185" s="2">
        <f>24900</f>
        <v>24900</v>
      </c>
      <c r="K1185" s="2" t="str">
        <f t="shared" si="329"/>
        <v>個</v>
      </c>
      <c r="L1185" s="2" t="str">
        <f t="shared" si="330"/>
        <v>3630331</v>
      </c>
      <c r="M1185" s="2" t="str">
        <f>""</f>
        <v/>
      </c>
    </row>
    <row r="1186" spans="1:13" x14ac:dyDescent="0.15">
      <c r="A1186" s="2" t="str">
        <f t="shared" si="318"/>
        <v>1881110500</v>
      </c>
      <c r="B1186" s="2" t="str">
        <f t="shared" si="319"/>
        <v>佐伯・区政調整</v>
      </c>
      <c r="C1186" s="2" t="str">
        <f t="shared" si="324"/>
        <v>03ｽ01501</v>
      </c>
      <c r="D1186" s="2" t="str">
        <f t="shared" si="325"/>
        <v>スタンド</v>
      </c>
      <c r="E1186" s="3" t="str">
        <f t="shared" si="326"/>
        <v>キャスター付</v>
      </c>
      <c r="F1186" s="2" t="str">
        <f t="shared" si="327"/>
        <v>０００１</v>
      </c>
      <c r="G1186" s="2" t="str">
        <f>"3620004213"</f>
        <v>3620004213</v>
      </c>
      <c r="H1186" s="2" t="str">
        <f t="shared" si="331"/>
        <v>001</v>
      </c>
      <c r="I1186" s="2" t="str">
        <f t="shared" si="328"/>
        <v>4100401</v>
      </c>
      <c r="J1186" s="2">
        <f>24900</f>
        <v>24900</v>
      </c>
      <c r="K1186" s="2" t="str">
        <f t="shared" si="329"/>
        <v>個</v>
      </c>
      <c r="L1186" s="2" t="str">
        <f t="shared" si="330"/>
        <v>3630331</v>
      </c>
      <c r="M1186" s="2" t="str">
        <f>""</f>
        <v/>
      </c>
    </row>
    <row r="1187" spans="1:13" x14ac:dyDescent="0.15">
      <c r="A1187" s="2" t="str">
        <f t="shared" si="318"/>
        <v>1881110500</v>
      </c>
      <c r="B1187" s="2" t="str">
        <f t="shared" si="319"/>
        <v>佐伯・区政調整</v>
      </c>
      <c r="C1187" s="2" t="str">
        <f t="shared" si="324"/>
        <v>03ｽ01501</v>
      </c>
      <c r="D1187" s="2" t="str">
        <f t="shared" si="325"/>
        <v>スタンド</v>
      </c>
      <c r="E1187" s="3" t="str">
        <f t="shared" si="326"/>
        <v>キャスター付</v>
      </c>
      <c r="F1187" s="2" t="str">
        <f t="shared" si="327"/>
        <v>０００１</v>
      </c>
      <c r="G1187" s="2" t="str">
        <f>"3620004214"</f>
        <v>3620004214</v>
      </c>
      <c r="H1187" s="2" t="str">
        <f t="shared" si="331"/>
        <v>001</v>
      </c>
      <c r="I1187" s="2" t="str">
        <f t="shared" si="328"/>
        <v>4100401</v>
      </c>
      <c r="J1187" s="2">
        <f>24900</f>
        <v>24900</v>
      </c>
      <c r="K1187" s="2" t="str">
        <f t="shared" si="329"/>
        <v>個</v>
      </c>
      <c r="L1187" s="2" t="str">
        <f t="shared" si="330"/>
        <v>3630331</v>
      </c>
      <c r="M1187" s="2" t="str">
        <f>""</f>
        <v/>
      </c>
    </row>
    <row r="1188" spans="1:13" x14ac:dyDescent="0.15">
      <c r="A1188" s="2" t="str">
        <f t="shared" si="318"/>
        <v>1881110500</v>
      </c>
      <c r="B1188" s="2" t="str">
        <f t="shared" si="319"/>
        <v>佐伯・区政調整</v>
      </c>
      <c r="C1188" s="2" t="str">
        <f t="shared" si="324"/>
        <v>03ｽ01501</v>
      </c>
      <c r="D1188" s="2" t="str">
        <f t="shared" si="325"/>
        <v>スタンド</v>
      </c>
      <c r="E1188" s="3" t="str">
        <f>"キャスター付　ハイスタンド"</f>
        <v>キャスター付　ハイスタンド</v>
      </c>
      <c r="F1188" s="2" t="str">
        <f t="shared" si="327"/>
        <v>０００１</v>
      </c>
      <c r="G1188" s="2" t="str">
        <f>"3620004215"</f>
        <v>3620004215</v>
      </c>
      <c r="H1188" s="2" t="str">
        <f t="shared" si="331"/>
        <v>001</v>
      </c>
      <c r="I1188" s="2" t="str">
        <f t="shared" si="328"/>
        <v>4100401</v>
      </c>
      <c r="J1188" s="2">
        <f>64200</f>
        <v>64200</v>
      </c>
      <c r="K1188" s="2" t="str">
        <f t="shared" si="329"/>
        <v>個</v>
      </c>
      <c r="L1188" s="2" t="str">
        <f t="shared" si="330"/>
        <v>3630331</v>
      </c>
      <c r="M1188" s="2" t="str">
        <f>""</f>
        <v/>
      </c>
    </row>
    <row r="1189" spans="1:13" x14ac:dyDescent="0.15">
      <c r="A1189" s="2" t="str">
        <f t="shared" si="318"/>
        <v>1881110500</v>
      </c>
      <c r="B1189" s="2" t="str">
        <f t="shared" si="319"/>
        <v>佐伯・区政調整</v>
      </c>
      <c r="C1189" s="2" t="str">
        <f t="shared" si="324"/>
        <v>03ｽ01501</v>
      </c>
      <c r="D1189" s="2" t="str">
        <f t="shared" si="325"/>
        <v>スタンド</v>
      </c>
      <c r="E1189" s="3" t="str">
        <f>"キャスター付　ハイスタンド"</f>
        <v>キャスター付　ハイスタンド</v>
      </c>
      <c r="F1189" s="2" t="str">
        <f t="shared" si="327"/>
        <v>０００１</v>
      </c>
      <c r="G1189" s="2" t="str">
        <f>"3620004216"</f>
        <v>3620004216</v>
      </c>
      <c r="H1189" s="2" t="str">
        <f t="shared" si="331"/>
        <v>001</v>
      </c>
      <c r="I1189" s="2" t="str">
        <f t="shared" si="328"/>
        <v>4100401</v>
      </c>
      <c r="J1189" s="2">
        <f>64200</f>
        <v>64200</v>
      </c>
      <c r="K1189" s="2" t="str">
        <f t="shared" si="329"/>
        <v>個</v>
      </c>
      <c r="L1189" s="2" t="str">
        <f t="shared" si="330"/>
        <v>3630331</v>
      </c>
      <c r="M1189" s="2" t="str">
        <f>""</f>
        <v/>
      </c>
    </row>
    <row r="1190" spans="1:13" x14ac:dyDescent="0.15">
      <c r="A1190" s="2" t="str">
        <f t="shared" si="318"/>
        <v>1881110500</v>
      </c>
      <c r="B1190" s="2" t="str">
        <f t="shared" si="319"/>
        <v>佐伯・区政調整</v>
      </c>
      <c r="C1190" s="2" t="str">
        <f t="shared" si="324"/>
        <v>03ｽ01501</v>
      </c>
      <c r="D1190" s="2" t="str">
        <f t="shared" si="325"/>
        <v>スタンド</v>
      </c>
      <c r="E1190" s="3" t="str">
        <f>"キャスター付　ハイスタンド"</f>
        <v>キャスター付　ハイスタンド</v>
      </c>
      <c r="F1190" s="2" t="str">
        <f t="shared" si="327"/>
        <v>０００１</v>
      </c>
      <c r="G1190" s="2" t="str">
        <f>"3620004217"</f>
        <v>3620004217</v>
      </c>
      <c r="H1190" s="2" t="str">
        <f t="shared" si="331"/>
        <v>001</v>
      </c>
      <c r="I1190" s="2" t="str">
        <f t="shared" si="328"/>
        <v>4100401</v>
      </c>
      <c r="J1190" s="2">
        <f>64200</f>
        <v>64200</v>
      </c>
      <c r="K1190" s="2" t="str">
        <f t="shared" si="329"/>
        <v>個</v>
      </c>
      <c r="L1190" s="2" t="str">
        <f t="shared" si="330"/>
        <v>3630331</v>
      </c>
      <c r="M1190" s="2" t="str">
        <f>""</f>
        <v/>
      </c>
    </row>
    <row r="1191" spans="1:13" x14ac:dyDescent="0.15">
      <c r="A1191" s="2" t="str">
        <f t="shared" si="318"/>
        <v>1881110500</v>
      </c>
      <c r="B1191" s="2" t="str">
        <f t="shared" si="319"/>
        <v>佐伯・区政調整</v>
      </c>
      <c r="C1191" s="2" t="str">
        <f t="shared" si="324"/>
        <v>03ｽ01501</v>
      </c>
      <c r="D1191" s="2" t="str">
        <f t="shared" si="325"/>
        <v>スタンド</v>
      </c>
      <c r="E1191" s="3" t="str">
        <f>"キャスター付　ハイスタンド"</f>
        <v>キャスター付　ハイスタンド</v>
      </c>
      <c r="F1191" s="2" t="str">
        <f t="shared" si="327"/>
        <v>０００１</v>
      </c>
      <c r="G1191" s="2" t="str">
        <f>"3620004218"</f>
        <v>3620004218</v>
      </c>
      <c r="H1191" s="2" t="str">
        <f t="shared" si="331"/>
        <v>001</v>
      </c>
      <c r="I1191" s="2" t="str">
        <f t="shared" si="328"/>
        <v>4100401</v>
      </c>
      <c r="J1191" s="2">
        <f>64200</f>
        <v>64200</v>
      </c>
      <c r="K1191" s="2" t="str">
        <f t="shared" si="329"/>
        <v>個</v>
      </c>
      <c r="L1191" s="2" t="str">
        <f t="shared" si="330"/>
        <v>3630331</v>
      </c>
      <c r="M1191" s="2" t="str">
        <f>""</f>
        <v/>
      </c>
    </row>
    <row r="1192" spans="1:13" x14ac:dyDescent="0.15">
      <c r="A1192" s="2" t="str">
        <f t="shared" si="318"/>
        <v>1881110500</v>
      </c>
      <c r="B1192" s="2" t="str">
        <f t="shared" si="319"/>
        <v>佐伯・区政調整</v>
      </c>
      <c r="C1192" s="2" t="str">
        <f>"03ﾀ00501"</f>
        <v>03ﾀ00501</v>
      </c>
      <c r="D1192" s="2" t="str">
        <f>"台"</f>
        <v>台</v>
      </c>
      <c r="E1192" s="3" t="str">
        <f>"オーロラＡＳ－７００"</f>
        <v>オーロラＡＳ－７００</v>
      </c>
      <c r="F1192" s="2" t="str">
        <f t="shared" si="327"/>
        <v>０００１</v>
      </c>
      <c r="G1192" s="2" t="str">
        <f>"4210005570"</f>
        <v>4210005570</v>
      </c>
      <c r="H1192" s="2" t="str">
        <f t="shared" si="331"/>
        <v>001</v>
      </c>
      <c r="I1192" s="2" t="str">
        <f>"4220315"</f>
        <v>4220315</v>
      </c>
      <c r="J1192" s="2">
        <f>84525</f>
        <v>84525</v>
      </c>
      <c r="K1192" s="2" t="str">
        <f t="shared" ref="K1192:K1197" si="332">"台"</f>
        <v>台</v>
      </c>
      <c r="L1192" s="2" t="str">
        <f>"4220315"</f>
        <v>4220315</v>
      </c>
      <c r="M1192" s="2" t="str">
        <f>"4220315"</f>
        <v>4220315</v>
      </c>
    </row>
    <row r="1193" spans="1:13" x14ac:dyDescent="0.15">
      <c r="A1193" s="2" t="str">
        <f t="shared" si="318"/>
        <v>1881110500</v>
      </c>
      <c r="B1193" s="2" t="str">
        <f t="shared" si="319"/>
        <v>佐伯・区政調整</v>
      </c>
      <c r="C1193" s="2" t="str">
        <f>"03ﾀ00501"</f>
        <v>03ﾀ00501</v>
      </c>
      <c r="D1193" s="2" t="str">
        <f>"台"</f>
        <v>台</v>
      </c>
      <c r="E1193" s="3" t="str">
        <f>"オーロラＡＳ－７００"</f>
        <v>オーロラＡＳ－７００</v>
      </c>
      <c r="F1193" s="2" t="str">
        <f t="shared" si="327"/>
        <v>０００１</v>
      </c>
      <c r="G1193" s="2" t="str">
        <f>"4210005571"</f>
        <v>4210005571</v>
      </c>
      <c r="H1193" s="2" t="str">
        <f t="shared" si="331"/>
        <v>001</v>
      </c>
      <c r="I1193" s="2" t="str">
        <f>"4220315"</f>
        <v>4220315</v>
      </c>
      <c r="J1193" s="2">
        <f>84525</f>
        <v>84525</v>
      </c>
      <c r="K1193" s="2" t="str">
        <f t="shared" si="332"/>
        <v>台</v>
      </c>
      <c r="L1193" s="2" t="str">
        <f>"4220315"</f>
        <v>4220315</v>
      </c>
      <c r="M1193" s="2" t="str">
        <f>"4220315"</f>
        <v>4220315</v>
      </c>
    </row>
    <row r="1194" spans="1:13" x14ac:dyDescent="0.15">
      <c r="A1194" s="2" t="str">
        <f t="shared" si="318"/>
        <v>1881110500</v>
      </c>
      <c r="B1194" s="2" t="str">
        <f t="shared" si="319"/>
        <v>佐伯・区政調整</v>
      </c>
      <c r="C1194" s="2" t="str">
        <f>"03ﾃ01901"</f>
        <v>03ﾃ01901</v>
      </c>
      <c r="D1194" s="2" t="str">
        <f>"データーレコーダー"</f>
        <v>データーレコーダー</v>
      </c>
      <c r="E1194" s="3" t="str">
        <f>"ＴＡＳＣＡＭ製　ＳＳ－ＣＤＲ２５０Ｎ"</f>
        <v>ＴＡＳＣＡＭ製　ＳＳ－ＣＤＲ２５０Ｎ</v>
      </c>
      <c r="F1194" s="2" t="str">
        <f>"区民文化センター"</f>
        <v>区民文化センター</v>
      </c>
      <c r="G1194" s="2" t="str">
        <f>"4290002189"</f>
        <v>4290002189</v>
      </c>
      <c r="H1194" s="2" t="str">
        <f t="shared" si="331"/>
        <v>001</v>
      </c>
      <c r="I1194" s="2" t="str">
        <f>"4290905"</f>
        <v>4290905</v>
      </c>
      <c r="J1194" s="2">
        <f>103464</f>
        <v>103464</v>
      </c>
      <c r="K1194" s="2" t="str">
        <f t="shared" si="332"/>
        <v>台</v>
      </c>
      <c r="L1194" s="2" t="str">
        <f>"4290905"</f>
        <v>4290905</v>
      </c>
      <c r="M1194" s="2" t="str">
        <f>"4290905"</f>
        <v>4290905</v>
      </c>
    </row>
    <row r="1195" spans="1:13" x14ac:dyDescent="0.15">
      <c r="A1195" s="2" t="str">
        <f t="shared" si="318"/>
        <v>1881110500</v>
      </c>
      <c r="B1195" s="2" t="str">
        <f t="shared" si="319"/>
        <v>佐伯・区政調整</v>
      </c>
      <c r="C1195" s="2" t="str">
        <f>"03ﾃ03201"</f>
        <v>03ﾃ03201</v>
      </c>
      <c r="D1195" s="2" t="str">
        <f>"電源分配器"</f>
        <v>電源分配器</v>
      </c>
      <c r="E1195" s="3" t="str">
        <f>"ＡＬ－ＰＢ－Ｈ１５"</f>
        <v>ＡＬ－ＰＢ－Ｈ１５</v>
      </c>
      <c r="F1195" s="2" t="str">
        <f>"０００１"</f>
        <v>０００１</v>
      </c>
      <c r="G1195" s="2" t="str">
        <f>"4240004826"</f>
        <v>4240004826</v>
      </c>
      <c r="H1195" s="2" t="str">
        <f t="shared" si="331"/>
        <v>001</v>
      </c>
      <c r="I1195" s="2" t="str">
        <f>"4250215"</f>
        <v>4250215</v>
      </c>
      <c r="J1195" s="2">
        <f>43680</f>
        <v>43680</v>
      </c>
      <c r="K1195" s="2" t="str">
        <f t="shared" si="332"/>
        <v>台</v>
      </c>
      <c r="L1195" s="2" t="str">
        <f>"4250215"</f>
        <v>4250215</v>
      </c>
      <c r="M1195" s="2" t="str">
        <f>"4250215"</f>
        <v>4250215</v>
      </c>
    </row>
    <row r="1196" spans="1:13" x14ac:dyDescent="0.15">
      <c r="A1196" s="2" t="str">
        <f t="shared" si="318"/>
        <v>1881110500</v>
      </c>
      <c r="B1196" s="2" t="str">
        <f t="shared" si="319"/>
        <v>佐伯・区政調整</v>
      </c>
      <c r="C1196" s="2" t="str">
        <f>"03ﾃ03201"</f>
        <v>03ﾃ03201</v>
      </c>
      <c r="D1196" s="2" t="str">
        <f>"電源分配器"</f>
        <v>電源分配器</v>
      </c>
      <c r="E1196" s="3" t="str">
        <f>"ＡＬ－ＰＢ－Ｈ１５"</f>
        <v>ＡＬ－ＰＢ－Ｈ１５</v>
      </c>
      <c r="F1196" s="2" t="str">
        <f>"０００１"</f>
        <v>０００１</v>
      </c>
      <c r="G1196" s="2" t="str">
        <f>"4240004827"</f>
        <v>4240004827</v>
      </c>
      <c r="H1196" s="2" t="str">
        <f t="shared" si="331"/>
        <v>001</v>
      </c>
      <c r="I1196" s="2" t="str">
        <f>"4250215"</f>
        <v>4250215</v>
      </c>
      <c r="J1196" s="2">
        <f>43680</f>
        <v>43680</v>
      </c>
      <c r="K1196" s="2" t="str">
        <f t="shared" si="332"/>
        <v>台</v>
      </c>
      <c r="L1196" s="2" t="str">
        <f>"4250215"</f>
        <v>4250215</v>
      </c>
      <c r="M1196" s="2" t="str">
        <f>"4250215"</f>
        <v>4250215</v>
      </c>
    </row>
    <row r="1197" spans="1:13" x14ac:dyDescent="0.15">
      <c r="A1197" s="2" t="str">
        <f t="shared" si="318"/>
        <v>1881110500</v>
      </c>
      <c r="B1197" s="2" t="str">
        <f t="shared" si="319"/>
        <v>佐伯・区政調整</v>
      </c>
      <c r="C1197" s="2" t="str">
        <f>"03ﾃ03201"</f>
        <v>03ﾃ03201</v>
      </c>
      <c r="D1197" s="2" t="str">
        <f>"電源分配器"</f>
        <v>電源分配器</v>
      </c>
      <c r="E1197" s="3" t="str">
        <f>"ＡＬ－ＰＢ－Ｈ１５"</f>
        <v>ＡＬ－ＰＢ－Ｈ１５</v>
      </c>
      <c r="F1197" s="2" t="str">
        <f>"０００１"</f>
        <v>０００１</v>
      </c>
      <c r="G1197" s="2" t="str">
        <f>"4240004828"</f>
        <v>4240004828</v>
      </c>
      <c r="H1197" s="2" t="str">
        <f t="shared" si="331"/>
        <v>001</v>
      </c>
      <c r="I1197" s="2" t="str">
        <f>"4250215"</f>
        <v>4250215</v>
      </c>
      <c r="J1197" s="2">
        <f>43680</f>
        <v>43680</v>
      </c>
      <c r="K1197" s="2" t="str">
        <f t="shared" si="332"/>
        <v>台</v>
      </c>
      <c r="L1197" s="2" t="str">
        <f>"4250215"</f>
        <v>4250215</v>
      </c>
      <c r="M1197" s="2" t="str">
        <f>"4250215"</f>
        <v>4250215</v>
      </c>
    </row>
    <row r="1198" spans="1:13" x14ac:dyDescent="0.15">
      <c r="A1198" s="2" t="str">
        <f t="shared" si="318"/>
        <v>1881110500</v>
      </c>
      <c r="B1198" s="2" t="str">
        <f t="shared" si="319"/>
        <v>佐伯・区政調整</v>
      </c>
      <c r="C1198" s="2" t="str">
        <f>"03ﾋ01904"</f>
        <v>03ﾋ01904</v>
      </c>
      <c r="D1198" s="2" t="str">
        <f>"ビデオカメラ"</f>
        <v>ビデオカメラ</v>
      </c>
      <c r="E1198" s="3" t="str">
        <f>"ソニー　ＨＤＲ－ＣＸ６８０"</f>
        <v>ソニー　ＨＤＲ－ＣＸ６８０</v>
      </c>
      <c r="F1198" s="2" t="str">
        <f>"区民文化センター"</f>
        <v>区民文化センター</v>
      </c>
      <c r="G1198" s="2" t="str">
        <f>"4300002474"</f>
        <v>4300002474</v>
      </c>
      <c r="H1198" s="2" t="str">
        <f t="shared" si="331"/>
        <v>001</v>
      </c>
      <c r="I1198" s="2" t="str">
        <f>"4301019"</f>
        <v>4301019</v>
      </c>
      <c r="J1198" s="2">
        <f>41800</f>
        <v>41800</v>
      </c>
      <c r="K1198" s="2" t="str">
        <f>"台"</f>
        <v>台</v>
      </c>
      <c r="L1198" s="2" t="str">
        <f>"4301019"</f>
        <v>4301019</v>
      </c>
      <c r="M1198" s="2" t="str">
        <f>"4301019"</f>
        <v>4301019</v>
      </c>
    </row>
    <row r="1199" spans="1:13" x14ac:dyDescent="0.15">
      <c r="A1199" s="2" t="str">
        <f t="shared" si="318"/>
        <v>1881110500</v>
      </c>
      <c r="B1199" s="2" t="str">
        <f t="shared" si="319"/>
        <v>佐伯・区政調整</v>
      </c>
      <c r="C1199" s="2" t="str">
        <f t="shared" ref="C1199:C1202" si="333">"03ﾌ02401"</f>
        <v>03ﾌ02401</v>
      </c>
      <c r="D1199" s="2" t="str">
        <f t="shared" ref="D1199:D1202" si="334">"プロジェクター"</f>
        <v>プロジェクター</v>
      </c>
      <c r="E1199" s="3" t="str">
        <f>"パナソニック　ＰＴＤ５７００"</f>
        <v>パナソニック　ＰＴＤ５７００</v>
      </c>
      <c r="F1199" s="2" t="str">
        <f>"０００１"</f>
        <v>０００１</v>
      </c>
      <c r="G1199" s="2" t="str">
        <f>"4190005494"</f>
        <v>4190005494</v>
      </c>
      <c r="H1199" s="2" t="str">
        <f t="shared" si="331"/>
        <v>001</v>
      </c>
      <c r="I1199" s="2" t="str">
        <f>"4200131"</f>
        <v>4200131</v>
      </c>
      <c r="J1199" s="2">
        <f>766500</f>
        <v>766500</v>
      </c>
      <c r="K1199" s="2" t="str">
        <f t="shared" ref="K1199:K1202" si="335">"個"</f>
        <v>個</v>
      </c>
      <c r="L1199" s="2" t="str">
        <f>"4200131"</f>
        <v>4200131</v>
      </c>
      <c r="M1199" s="2" t="str">
        <f>"4200131"</f>
        <v>4200131</v>
      </c>
    </row>
    <row r="1200" spans="1:13" x14ac:dyDescent="0.15">
      <c r="A1200" s="2" t="str">
        <f t="shared" si="318"/>
        <v>1881110500</v>
      </c>
      <c r="B1200" s="2" t="str">
        <f t="shared" si="319"/>
        <v>佐伯・区政調整</v>
      </c>
      <c r="C1200" s="2" t="str">
        <f t="shared" si="333"/>
        <v>03ﾌ02401</v>
      </c>
      <c r="D1200" s="2" t="str">
        <f t="shared" si="334"/>
        <v>プロジェクター</v>
      </c>
      <c r="E1200" s="3" t="str">
        <f>"Ｐａｎａｓｏｎｉｃ　ＰＴ－Ｄ４０"</f>
        <v>Ｐａｎａｓｏｎｉｃ　ＰＴ－Ｄ４０</v>
      </c>
      <c r="F1200" s="2" t="str">
        <f>"０００１"</f>
        <v>０００１</v>
      </c>
      <c r="G1200" s="2" t="str">
        <f>"4210005574"</f>
        <v>4210005574</v>
      </c>
      <c r="H1200" s="2" t="str">
        <f t="shared" si="331"/>
        <v>001</v>
      </c>
      <c r="I1200" s="2" t="str">
        <f>"4220312"</f>
        <v>4220312</v>
      </c>
      <c r="J1200" s="2">
        <f>409500</f>
        <v>409500</v>
      </c>
      <c r="K1200" s="2" t="str">
        <f t="shared" si="335"/>
        <v>個</v>
      </c>
      <c r="L1200" s="2" t="str">
        <f>"4220312"</f>
        <v>4220312</v>
      </c>
      <c r="M1200" s="2" t="str">
        <f>"4220312"</f>
        <v>4220312</v>
      </c>
    </row>
    <row r="1201" spans="1:13" x14ac:dyDescent="0.15">
      <c r="A1201" s="2" t="str">
        <f t="shared" si="318"/>
        <v>1881110500</v>
      </c>
      <c r="B1201" s="2" t="str">
        <f t="shared" si="319"/>
        <v>佐伯・区政調整</v>
      </c>
      <c r="C1201" s="2" t="str">
        <f t="shared" si="333"/>
        <v>03ﾌ02401</v>
      </c>
      <c r="D1201" s="2" t="str">
        <f t="shared" si="334"/>
        <v>プロジェクター</v>
      </c>
      <c r="E1201" s="3" t="str">
        <f>"ＥＰＳＯＮ製　ＥＨ－ＤＭ３０"</f>
        <v>ＥＰＳＯＮ製　ＥＨ－ＤＭ３０</v>
      </c>
      <c r="F1201" s="2" t="str">
        <f>"区民文化センター"</f>
        <v>区民文化センター</v>
      </c>
      <c r="G1201" s="2" t="str">
        <f>"4290002187"</f>
        <v>4290002187</v>
      </c>
      <c r="H1201" s="2" t="str">
        <f t="shared" si="331"/>
        <v>001</v>
      </c>
      <c r="I1201" s="2" t="str">
        <f>"4290905"</f>
        <v>4290905</v>
      </c>
      <c r="J1201" s="2">
        <f>77112</f>
        <v>77112</v>
      </c>
      <c r="K1201" s="2" t="str">
        <f t="shared" si="335"/>
        <v>個</v>
      </c>
      <c r="L1201" s="2" t="str">
        <f>"4290905"</f>
        <v>4290905</v>
      </c>
      <c r="M1201" s="2" t="str">
        <f>"4290905"</f>
        <v>4290905</v>
      </c>
    </row>
    <row r="1202" spans="1:13" x14ac:dyDescent="0.15">
      <c r="A1202" s="2" t="str">
        <f t="shared" si="318"/>
        <v>1881110500</v>
      </c>
      <c r="B1202" s="2" t="str">
        <f t="shared" si="319"/>
        <v>佐伯・区政調整</v>
      </c>
      <c r="C1202" s="2" t="str">
        <f t="shared" si="333"/>
        <v>03ﾌ02401</v>
      </c>
      <c r="D1202" s="2" t="str">
        <f t="shared" si="334"/>
        <v>プロジェクター</v>
      </c>
      <c r="E1202" s="3" t="str">
        <f>"ＥＰＳＯＮ製　ＥＨ－ＤＭ３０"</f>
        <v>ＥＰＳＯＮ製　ＥＨ－ＤＭ３０</v>
      </c>
      <c r="F1202" s="2" t="str">
        <f>"区民文化センター"</f>
        <v>区民文化センター</v>
      </c>
      <c r="G1202" s="2" t="str">
        <f>"4290002187"</f>
        <v>4290002187</v>
      </c>
      <c r="H1202" s="2" t="str">
        <f>"002"</f>
        <v>002</v>
      </c>
      <c r="I1202" s="2" t="str">
        <f>"4290905"</f>
        <v>4290905</v>
      </c>
      <c r="J1202" s="2">
        <f>77112</f>
        <v>77112</v>
      </c>
      <c r="K1202" s="2" t="str">
        <f t="shared" si="335"/>
        <v>個</v>
      </c>
      <c r="L1202" s="2" t="str">
        <f>"4290905"</f>
        <v>4290905</v>
      </c>
      <c r="M1202" s="2" t="str">
        <f>"4290905"</f>
        <v>4290905</v>
      </c>
    </row>
    <row r="1203" spans="1:13" x14ac:dyDescent="0.15">
      <c r="A1203" s="2" t="str">
        <f t="shared" si="318"/>
        <v>1881110500</v>
      </c>
      <c r="B1203" s="2" t="str">
        <f t="shared" si="319"/>
        <v>佐伯・区政調整</v>
      </c>
      <c r="C1203" s="2" t="str">
        <f>"03ﾌ02402"</f>
        <v>03ﾌ02402</v>
      </c>
      <c r="D1203" s="2" t="str">
        <f>"ビデオプロジェクター"</f>
        <v>ビデオプロジェクター</v>
      </c>
      <c r="E1203" s="3" t="str">
        <f>"ナショナル　ＴＨ－Ｌ７１１Ｊ"</f>
        <v>ナショナル　ＴＨ－Ｌ７１１Ｊ</v>
      </c>
      <c r="F1203" s="2" t="str">
        <f t="shared" ref="F1203:F1209" si="336">"０００１"</f>
        <v>０００１</v>
      </c>
      <c r="G1203" s="2" t="str">
        <f>"4120006809"</f>
        <v>4120006809</v>
      </c>
      <c r="H1203" s="2" t="str">
        <f t="shared" ref="H1203:H1207" si="337">"001"</f>
        <v>001</v>
      </c>
      <c r="I1203" s="2" t="str">
        <f>"4130322"</f>
        <v>4130322</v>
      </c>
      <c r="J1203" s="2">
        <f>402150</f>
        <v>402150</v>
      </c>
      <c r="K1203" s="2" t="str">
        <f>"台"</f>
        <v>台</v>
      </c>
      <c r="L1203" s="2" t="str">
        <f>"4130322"</f>
        <v>4130322</v>
      </c>
      <c r="M1203" s="2" t="str">
        <f>"4130322"</f>
        <v>4130322</v>
      </c>
    </row>
    <row r="1204" spans="1:13" x14ac:dyDescent="0.15">
      <c r="A1204" s="2" t="str">
        <f t="shared" si="318"/>
        <v>1881110500</v>
      </c>
      <c r="B1204" s="2" t="str">
        <f t="shared" si="319"/>
        <v>佐伯・区政調整</v>
      </c>
      <c r="C1204" s="2" t="str">
        <f>"03ﾑ00105"</f>
        <v>03ﾑ00105</v>
      </c>
      <c r="D1204" s="2" t="str">
        <f>"ワイヤレス受信器"</f>
        <v>ワイヤレス受信器</v>
      </c>
      <c r="E1204" s="3" t="str">
        <f>"ＰａｎａｓｏｎｉｃＷＸ－４０４０"</f>
        <v>ＰａｎａｓｏｎｉｃＷＸ－４０４０</v>
      </c>
      <c r="F1204" s="2" t="str">
        <f t="shared" si="336"/>
        <v>０００１</v>
      </c>
      <c r="G1204" s="2" t="str">
        <f>"4220004556"</f>
        <v>4220004556</v>
      </c>
      <c r="H1204" s="2" t="str">
        <f t="shared" si="337"/>
        <v>001</v>
      </c>
      <c r="I1204" s="2" t="str">
        <f>"4230309"</f>
        <v>4230309</v>
      </c>
      <c r="J1204" s="2">
        <f>172200</f>
        <v>172200</v>
      </c>
      <c r="K1204" s="2" t="str">
        <f t="shared" ref="K1204:K1208" si="338">"個"</f>
        <v>個</v>
      </c>
      <c r="L1204" s="2" t="str">
        <f>"4230309"</f>
        <v>4230309</v>
      </c>
      <c r="M1204" s="2" t="str">
        <f>"4230309"</f>
        <v>4230309</v>
      </c>
    </row>
    <row r="1205" spans="1:13" x14ac:dyDescent="0.15">
      <c r="A1205" s="2" t="str">
        <f t="shared" si="318"/>
        <v>1881110500</v>
      </c>
      <c r="B1205" s="2" t="str">
        <f t="shared" si="319"/>
        <v>佐伯・区政調整</v>
      </c>
      <c r="C1205" s="2" t="str">
        <f>"03ﾑ00105"</f>
        <v>03ﾑ00105</v>
      </c>
      <c r="D1205" s="2" t="str">
        <f>"ワイヤレス受信器"</f>
        <v>ワイヤレス受信器</v>
      </c>
      <c r="E1205" s="3" t="str">
        <f>"ＰａｎａｓｏｎｉｃＷＸ－ＬＰ１０"</f>
        <v>ＰａｎａｓｏｎｉｃＷＸ－ＬＰ１０</v>
      </c>
      <c r="F1205" s="2" t="str">
        <f t="shared" si="336"/>
        <v>０００１</v>
      </c>
      <c r="G1205" s="2" t="str">
        <f>"4230003795"</f>
        <v>4230003795</v>
      </c>
      <c r="H1205" s="2" t="str">
        <f t="shared" si="337"/>
        <v>001</v>
      </c>
      <c r="I1205" s="2" t="str">
        <f>"4231007"</f>
        <v>4231007</v>
      </c>
      <c r="J1205" s="2">
        <f>105000</f>
        <v>105000</v>
      </c>
      <c r="K1205" s="2" t="str">
        <f t="shared" si="338"/>
        <v>個</v>
      </c>
      <c r="L1205" s="2" t="str">
        <f>"4231007"</f>
        <v>4231007</v>
      </c>
      <c r="M1205" s="2" t="str">
        <f>"4231007"</f>
        <v>4231007</v>
      </c>
    </row>
    <row r="1206" spans="1:13" x14ac:dyDescent="0.15">
      <c r="A1206" s="2" t="str">
        <f t="shared" si="318"/>
        <v>1881110500</v>
      </c>
      <c r="B1206" s="2" t="str">
        <f t="shared" si="319"/>
        <v>佐伯・区政調整</v>
      </c>
      <c r="C1206" s="2" t="str">
        <f>"03ﾚ00101"</f>
        <v>03ﾚ00101</v>
      </c>
      <c r="D1206" s="2" t="str">
        <f>"レンズ"</f>
        <v>レンズ</v>
      </c>
      <c r="E1206" s="3" t="str">
        <f>"交換レンズ　ニコンＡＦ用"</f>
        <v>交換レンズ　ニコンＡＦ用</v>
      </c>
      <c r="F1206" s="2" t="str">
        <f t="shared" si="336"/>
        <v>０００１</v>
      </c>
      <c r="G1206" s="2" t="str">
        <f>"3620004219"</f>
        <v>3620004219</v>
      </c>
      <c r="H1206" s="2" t="str">
        <f t="shared" si="337"/>
        <v>001</v>
      </c>
      <c r="I1206" s="2" t="str">
        <f>"4100401"</f>
        <v>4100401</v>
      </c>
      <c r="J1206" s="2">
        <f>51500</f>
        <v>51500</v>
      </c>
      <c r="K1206" s="2" t="str">
        <f t="shared" si="338"/>
        <v>個</v>
      </c>
      <c r="L1206" s="2" t="str">
        <f>"3630322"</f>
        <v>3630322</v>
      </c>
      <c r="M1206" s="2" t="str">
        <f>""</f>
        <v/>
      </c>
    </row>
    <row r="1207" spans="1:13" x14ac:dyDescent="0.15">
      <c r="A1207" s="2" t="str">
        <f t="shared" si="318"/>
        <v>1881110500</v>
      </c>
      <c r="B1207" s="2" t="str">
        <f t="shared" si="319"/>
        <v>佐伯・区政調整</v>
      </c>
      <c r="C1207" s="2" t="str">
        <f>"03ﾚ00101"</f>
        <v>03ﾚ00101</v>
      </c>
      <c r="D1207" s="2" t="str">
        <f>"レンズ"</f>
        <v>レンズ</v>
      </c>
      <c r="E1207" s="3" t="str">
        <f>"ＰａｎａｓｏｎｉｃＥＴ－ＤＬＥ１"</f>
        <v>ＰａｎａｓｏｎｉｃＥＴ－ＤＬＥ１</v>
      </c>
      <c r="F1207" s="2" t="str">
        <f t="shared" si="336"/>
        <v>０００１</v>
      </c>
      <c r="G1207" s="2" t="str">
        <f>"4230003796"</f>
        <v>4230003796</v>
      </c>
      <c r="H1207" s="2" t="str">
        <f t="shared" si="337"/>
        <v>001</v>
      </c>
      <c r="I1207" s="2" t="str">
        <f>"4231227"</f>
        <v>4231227</v>
      </c>
      <c r="J1207" s="2">
        <f>168000</f>
        <v>168000</v>
      </c>
      <c r="K1207" s="2" t="str">
        <f t="shared" si="338"/>
        <v>個</v>
      </c>
      <c r="L1207" s="2" t="str">
        <f>"4231227"</f>
        <v>4231227</v>
      </c>
      <c r="M1207" s="2" t="str">
        <f>"4231227"</f>
        <v>4231227</v>
      </c>
    </row>
    <row r="1208" spans="1:13" x14ac:dyDescent="0.15">
      <c r="A1208" s="2" t="str">
        <f t="shared" si="318"/>
        <v>1881110500</v>
      </c>
      <c r="B1208" s="2" t="str">
        <f t="shared" si="319"/>
        <v>佐伯・区政調整</v>
      </c>
      <c r="C1208" s="2" t="str">
        <f>"03ﾛ00402"</f>
        <v>03ﾛ00402</v>
      </c>
      <c r="D1208" s="2" t="str">
        <f>"電気炉"</f>
        <v>電気炉</v>
      </c>
      <c r="E1208" s="3" t="str">
        <f>"日本電産シンポ㈱製　ＤＦＡ－０８"</f>
        <v>日本電産シンポ㈱製　ＤＦＡ－０８</v>
      </c>
      <c r="F1208" s="2" t="str">
        <f t="shared" si="336"/>
        <v>０００１</v>
      </c>
      <c r="G1208" s="2" t="str">
        <f>"4240004829"</f>
        <v>4240004829</v>
      </c>
      <c r="H1208" s="2" t="str">
        <f>"001"</f>
        <v>001</v>
      </c>
      <c r="I1208" s="2" t="str">
        <f>"4241115"</f>
        <v>4241115</v>
      </c>
      <c r="J1208" s="2">
        <f>744000</f>
        <v>744000</v>
      </c>
      <c r="K1208" s="2" t="str">
        <f t="shared" si="338"/>
        <v>個</v>
      </c>
      <c r="L1208" s="2" t="str">
        <f>"4241115"</f>
        <v>4241115</v>
      </c>
      <c r="M1208" s="2" t="str">
        <f>"4241115"</f>
        <v>4241115</v>
      </c>
    </row>
    <row r="1209" spans="1:13" x14ac:dyDescent="0.15">
      <c r="A1209" s="2" t="str">
        <f t="shared" si="318"/>
        <v>1881110500</v>
      </c>
      <c r="B1209" s="2" t="str">
        <f t="shared" si="319"/>
        <v>佐伯・区政調整</v>
      </c>
      <c r="C1209" s="2" t="str">
        <f t="shared" ref="C1209:C1210" si="339">"04ｼ05001"</f>
        <v>04ｼ05001</v>
      </c>
      <c r="D1209" s="2" t="str">
        <f t="shared" ref="D1209:D1210" si="340">"自動体外式除細動器"</f>
        <v>自動体外式除細動器</v>
      </c>
      <c r="E1209" s="3" t="str">
        <f>"日本光電ＡＥＤ－９２００"</f>
        <v>日本光電ＡＥＤ－９２００</v>
      </c>
      <c r="F1209" s="2" t="str">
        <f t="shared" si="336"/>
        <v>０００１</v>
      </c>
      <c r="G1209" s="2" t="str">
        <f>"4180002126"</f>
        <v>4180002126</v>
      </c>
      <c r="H1209" s="2" t="str">
        <f>"001"</f>
        <v>001</v>
      </c>
      <c r="I1209" s="2" t="str">
        <f>"4180901"</f>
        <v>4180901</v>
      </c>
      <c r="J1209" s="2">
        <f>294000</f>
        <v>294000</v>
      </c>
      <c r="K1209" s="2" t="str">
        <f t="shared" ref="K1209:K1210" si="341">"台"</f>
        <v>台</v>
      </c>
      <c r="L1209" s="2" t="str">
        <f>"4180526"</f>
        <v>4180526</v>
      </c>
      <c r="M1209" s="2" t="str">
        <f>"4180901"</f>
        <v>4180901</v>
      </c>
    </row>
    <row r="1210" spans="1:13" x14ac:dyDescent="0.15">
      <c r="A1210" s="2" t="str">
        <f t="shared" si="318"/>
        <v>1881110500</v>
      </c>
      <c r="B1210" s="2" t="str">
        <f t="shared" si="319"/>
        <v>佐伯・区政調整</v>
      </c>
      <c r="C1210" s="2" t="str">
        <f t="shared" si="339"/>
        <v>04ｼ05001</v>
      </c>
      <c r="D1210" s="2" t="str">
        <f t="shared" si="340"/>
        <v>自動体外式除細動器</v>
      </c>
      <c r="E1210" s="3" t="str">
        <f>"カルジオライフＡＥＤ－２１００"</f>
        <v>カルジオライフＡＥＤ－２１００</v>
      </c>
      <c r="F1210" s="2" t="str">
        <f>"佐伯区民文化センター"</f>
        <v>佐伯区民文化センター</v>
      </c>
      <c r="G1210" s="2" t="str">
        <f>"4250004959"</f>
        <v>4250004959</v>
      </c>
      <c r="H1210" s="2" t="str">
        <f>"007"</f>
        <v>007</v>
      </c>
      <c r="I1210" s="2" t="str">
        <f>"4260418"</f>
        <v>4260418</v>
      </c>
      <c r="J1210" s="2">
        <f>84000</f>
        <v>84000</v>
      </c>
      <c r="K1210" s="2" t="str">
        <f t="shared" si="341"/>
        <v>台</v>
      </c>
      <c r="L1210" s="2" t="str">
        <f>"4260219"</f>
        <v>4260219</v>
      </c>
      <c r="M1210" s="2" t="str">
        <f>"4260219"</f>
        <v>4260219</v>
      </c>
    </row>
    <row r="1211" spans="1:13" x14ac:dyDescent="0.15">
      <c r="A1211" s="2" t="str">
        <f t="shared" ref="A1211:A1245" si="342">"1881110500"</f>
        <v>1881110500</v>
      </c>
      <c r="B1211" s="2" t="str">
        <f t="shared" ref="B1211:B1245" si="343">"佐伯・区政調整"</f>
        <v>佐伯・区政調整</v>
      </c>
      <c r="C1211" s="2" t="str">
        <f t="shared" ref="C1211:C1213" si="344">"05ｶ00101"</f>
        <v>05ｶ00101</v>
      </c>
      <c r="D1211" s="2" t="str">
        <f t="shared" ref="D1211:D1213" si="345">"花台"</f>
        <v>花台</v>
      </c>
      <c r="E1211" s="3" t="str">
        <f>"４００×４００×６９５"</f>
        <v>４００×４００×６９５</v>
      </c>
      <c r="F1211" s="2" t="str">
        <f t="shared" ref="F1211:F1221" si="346">"０００１"</f>
        <v>０００１</v>
      </c>
      <c r="G1211" s="2" t="str">
        <f>"3620004220"</f>
        <v>3620004220</v>
      </c>
      <c r="H1211" s="2" t="str">
        <f t="shared" ref="H1211:H1221" si="347">"001"</f>
        <v>001</v>
      </c>
      <c r="I1211" s="2" t="str">
        <f>"4100401"</f>
        <v>4100401</v>
      </c>
      <c r="J1211" s="2">
        <f>35000</f>
        <v>35000</v>
      </c>
      <c r="K1211" s="2" t="str">
        <f t="shared" ref="K1211:K1213" si="348">"個"</f>
        <v>個</v>
      </c>
      <c r="L1211" s="2" t="str">
        <f>"3630331"</f>
        <v>3630331</v>
      </c>
      <c r="M1211" s="2" t="str">
        <f>""</f>
        <v/>
      </c>
    </row>
    <row r="1212" spans="1:13" x14ac:dyDescent="0.15">
      <c r="A1212" s="2" t="str">
        <f t="shared" si="342"/>
        <v>1881110500</v>
      </c>
      <c r="B1212" s="2" t="str">
        <f t="shared" si="343"/>
        <v>佐伯・区政調整</v>
      </c>
      <c r="C1212" s="2" t="str">
        <f t="shared" si="344"/>
        <v>05ｶ00101</v>
      </c>
      <c r="D1212" s="2" t="str">
        <f t="shared" si="345"/>
        <v>花台</v>
      </c>
      <c r="E1212" s="3" t="str">
        <f>"４５０×４５０×７５０"</f>
        <v>４５０×４５０×７５０</v>
      </c>
      <c r="F1212" s="2" t="str">
        <f t="shared" si="346"/>
        <v>０００１</v>
      </c>
      <c r="G1212" s="2" t="str">
        <f>"3620004221"</f>
        <v>3620004221</v>
      </c>
      <c r="H1212" s="2" t="str">
        <f t="shared" si="347"/>
        <v>001</v>
      </c>
      <c r="I1212" s="2" t="str">
        <f>"4100401"</f>
        <v>4100401</v>
      </c>
      <c r="J1212" s="2">
        <f>50700</f>
        <v>50700</v>
      </c>
      <c r="K1212" s="2" t="str">
        <f t="shared" si="348"/>
        <v>個</v>
      </c>
      <c r="L1212" s="2" t="str">
        <f>"3630331"</f>
        <v>3630331</v>
      </c>
      <c r="M1212" s="2" t="str">
        <f>""</f>
        <v/>
      </c>
    </row>
    <row r="1213" spans="1:13" x14ac:dyDescent="0.15">
      <c r="A1213" s="2" t="str">
        <f t="shared" si="342"/>
        <v>1881110500</v>
      </c>
      <c r="B1213" s="2" t="str">
        <f t="shared" si="343"/>
        <v>佐伯・区政調整</v>
      </c>
      <c r="C1213" s="2" t="str">
        <f t="shared" si="344"/>
        <v>05ｶ00101</v>
      </c>
      <c r="D1213" s="2" t="str">
        <f t="shared" si="345"/>
        <v>花台</v>
      </c>
      <c r="E1213" s="3" t="str">
        <f>"４５０×４５０×７５０"</f>
        <v>４５０×４５０×７５０</v>
      </c>
      <c r="F1213" s="2" t="str">
        <f t="shared" si="346"/>
        <v>０００１</v>
      </c>
      <c r="G1213" s="2" t="str">
        <f>"3620004222"</f>
        <v>3620004222</v>
      </c>
      <c r="H1213" s="2" t="str">
        <f t="shared" si="347"/>
        <v>001</v>
      </c>
      <c r="I1213" s="2" t="str">
        <f>"4100401"</f>
        <v>4100401</v>
      </c>
      <c r="J1213" s="2">
        <f>50700</f>
        <v>50700</v>
      </c>
      <c r="K1213" s="2" t="str">
        <f t="shared" si="348"/>
        <v>個</v>
      </c>
      <c r="L1213" s="2" t="str">
        <f>"3630331"</f>
        <v>3630331</v>
      </c>
      <c r="M1213" s="2" t="str">
        <f>""</f>
        <v/>
      </c>
    </row>
    <row r="1214" spans="1:13" x14ac:dyDescent="0.15">
      <c r="A1214" s="2" t="str">
        <f t="shared" si="342"/>
        <v>1881110500</v>
      </c>
      <c r="B1214" s="2" t="str">
        <f t="shared" si="343"/>
        <v>佐伯・区政調整</v>
      </c>
      <c r="C1214" s="2" t="str">
        <f>"05ｶ00602"</f>
        <v>05ｶ00602</v>
      </c>
      <c r="D1214" s="2" t="str">
        <f>"ピアノ"</f>
        <v>ピアノ</v>
      </c>
      <c r="E1214" s="3" t="str">
        <f>"グランドピアノ椅子付ヤマハＣＦ"</f>
        <v>グランドピアノ椅子付ヤマハＣＦ</v>
      </c>
      <c r="F1214" s="2" t="str">
        <f t="shared" si="346"/>
        <v>０００１</v>
      </c>
      <c r="G1214" s="2" t="str">
        <f>"3620004223"</f>
        <v>3620004223</v>
      </c>
      <c r="H1214" s="2" t="str">
        <f t="shared" si="347"/>
        <v>001</v>
      </c>
      <c r="I1214" s="2" t="str">
        <f>"4100401"</f>
        <v>4100401</v>
      </c>
      <c r="J1214" s="2">
        <f>4050000</f>
        <v>4050000</v>
      </c>
      <c r="K1214" s="2" t="str">
        <f t="shared" ref="K1214:K1220" si="349">"台"</f>
        <v>台</v>
      </c>
      <c r="L1214" s="2" t="str">
        <f>"3630331"</f>
        <v>3630331</v>
      </c>
      <c r="M1214" s="2" t="str">
        <f>""</f>
        <v/>
      </c>
    </row>
    <row r="1215" spans="1:13" x14ac:dyDescent="0.15">
      <c r="A1215" s="2" t="str">
        <f t="shared" si="342"/>
        <v>1881110500</v>
      </c>
      <c r="B1215" s="2" t="str">
        <f t="shared" si="343"/>
        <v>佐伯・区政調整</v>
      </c>
      <c r="C1215" s="2" t="str">
        <f>"05ｶ00602"</f>
        <v>05ｶ00602</v>
      </c>
      <c r="D1215" s="2" t="str">
        <f>"ピアノ"</f>
        <v>ピアノ</v>
      </c>
      <c r="E1215" s="3" t="str">
        <f>"セミコンサート用椅子付ＧＳー７０"</f>
        <v>セミコンサート用椅子付ＧＳー７０</v>
      </c>
      <c r="F1215" s="2" t="str">
        <f t="shared" si="346"/>
        <v>０００１</v>
      </c>
      <c r="G1215" s="2" t="str">
        <f>"3620004224"</f>
        <v>3620004224</v>
      </c>
      <c r="H1215" s="2" t="str">
        <f t="shared" si="347"/>
        <v>001</v>
      </c>
      <c r="I1215" s="2" t="str">
        <f>"4100401"</f>
        <v>4100401</v>
      </c>
      <c r="J1215" s="2">
        <f>1800000</f>
        <v>1800000</v>
      </c>
      <c r="K1215" s="2" t="str">
        <f t="shared" si="349"/>
        <v>台</v>
      </c>
      <c r="L1215" s="2" t="str">
        <f>"3630331"</f>
        <v>3630331</v>
      </c>
      <c r="M1215" s="2" t="str">
        <f>""</f>
        <v/>
      </c>
    </row>
    <row r="1216" spans="1:13" x14ac:dyDescent="0.15">
      <c r="A1216" s="2" t="str">
        <f t="shared" si="342"/>
        <v>1881110500</v>
      </c>
      <c r="B1216" s="2" t="str">
        <f t="shared" si="343"/>
        <v>佐伯・区政調整</v>
      </c>
      <c r="C1216" s="2" t="str">
        <f>"05ｶ00602"</f>
        <v>05ｶ00602</v>
      </c>
      <c r="D1216" s="2" t="str">
        <f>"ピアノ"</f>
        <v>ピアノ</v>
      </c>
      <c r="E1216" s="3" t="str">
        <f>"カワイ　Ｋ－６"</f>
        <v>カワイ　Ｋ－６</v>
      </c>
      <c r="F1216" s="2" t="str">
        <f t="shared" si="346"/>
        <v>０００１</v>
      </c>
      <c r="G1216" s="2" t="str">
        <f>"4200004659"</f>
        <v>4200004659</v>
      </c>
      <c r="H1216" s="2" t="str">
        <f t="shared" si="347"/>
        <v>001</v>
      </c>
      <c r="I1216" s="2" t="str">
        <f>"4210327"</f>
        <v>4210327</v>
      </c>
      <c r="J1216" s="2">
        <f>630000</f>
        <v>630000</v>
      </c>
      <c r="K1216" s="2" t="str">
        <f t="shared" si="349"/>
        <v>台</v>
      </c>
      <c r="L1216" s="2" t="str">
        <f>"4210327"</f>
        <v>4210327</v>
      </c>
      <c r="M1216" s="2" t="str">
        <f>""</f>
        <v/>
      </c>
    </row>
    <row r="1217" spans="1:13" x14ac:dyDescent="0.15">
      <c r="A1217" s="2" t="str">
        <f t="shared" si="342"/>
        <v>1881110500</v>
      </c>
      <c r="B1217" s="2" t="str">
        <f t="shared" si="343"/>
        <v>佐伯・区政調整</v>
      </c>
      <c r="C1217" s="2" t="str">
        <f>"05ｶ00602"</f>
        <v>05ｶ00602</v>
      </c>
      <c r="D1217" s="2" t="str">
        <f>"ピアノ"</f>
        <v>ピアノ</v>
      </c>
      <c r="E1217" s="3" t="str">
        <f>"カワイ　ＲＸ－７Ｈ"</f>
        <v>カワイ　ＲＸ－７Ｈ</v>
      </c>
      <c r="F1217" s="2" t="str">
        <f t="shared" si="346"/>
        <v>０００１</v>
      </c>
      <c r="G1217" s="2" t="str">
        <f>"4240004830"</f>
        <v>4240004830</v>
      </c>
      <c r="H1217" s="2" t="str">
        <f t="shared" si="347"/>
        <v>001</v>
      </c>
      <c r="I1217" s="2" t="str">
        <f>"4241227"</f>
        <v>4241227</v>
      </c>
      <c r="J1217" s="2">
        <f>2110920</f>
        <v>2110920</v>
      </c>
      <c r="K1217" s="2" t="str">
        <f t="shared" si="349"/>
        <v>台</v>
      </c>
      <c r="L1217" s="2" t="str">
        <f>"4241227"</f>
        <v>4241227</v>
      </c>
      <c r="M1217" s="2" t="str">
        <f>"4241227"</f>
        <v>4241227</v>
      </c>
    </row>
    <row r="1218" spans="1:13" x14ac:dyDescent="0.15">
      <c r="A1218" s="2" t="str">
        <f t="shared" si="342"/>
        <v>1881110500</v>
      </c>
      <c r="B1218" s="2" t="str">
        <f t="shared" si="343"/>
        <v>佐伯・区政調整</v>
      </c>
      <c r="C1218" s="2" t="str">
        <f>"05ｶ00602"</f>
        <v>05ｶ00602</v>
      </c>
      <c r="D1218" s="2" t="str">
        <f>"ピアノ"</f>
        <v>ピアノ</v>
      </c>
      <c r="E1218" s="3" t="str">
        <f>"フルコン　スタインウェイＤ２７４"</f>
        <v>フルコン　スタインウェイＤ２７４</v>
      </c>
      <c r="F1218" s="2" t="str">
        <f t="shared" si="346"/>
        <v>０００１</v>
      </c>
      <c r="G1218" s="2" t="str">
        <f>"4210001707"</f>
        <v>4210001707</v>
      </c>
      <c r="H1218" s="2" t="str">
        <f t="shared" si="347"/>
        <v>001</v>
      </c>
      <c r="I1218" s="2" t="str">
        <f>"4250401"</f>
        <v>4250401</v>
      </c>
      <c r="J1218" s="2">
        <f>2000000</f>
        <v>2000000</v>
      </c>
      <c r="K1218" s="2" t="str">
        <f t="shared" si="349"/>
        <v>台</v>
      </c>
      <c r="L1218" s="2" t="str">
        <f>"4220331"</f>
        <v>4220331</v>
      </c>
      <c r="M1218" s="2" t="str">
        <f>"4220331"</f>
        <v>4220331</v>
      </c>
    </row>
    <row r="1219" spans="1:13" x14ac:dyDescent="0.15">
      <c r="A1219" s="2" t="str">
        <f t="shared" si="342"/>
        <v>1881110500</v>
      </c>
      <c r="B1219" s="2" t="str">
        <f t="shared" si="343"/>
        <v>佐伯・区政調整</v>
      </c>
      <c r="C1219" s="2" t="str">
        <f>"05ｶ00603"</f>
        <v>05ｶ00603</v>
      </c>
      <c r="D1219" s="2" t="str">
        <f>"オルガン"</f>
        <v>オルガン</v>
      </c>
      <c r="E1219" s="3" t="str">
        <f>"カワイステージピアノ　ＭＰ６"</f>
        <v>カワイステージピアノ　ＭＰ６</v>
      </c>
      <c r="F1219" s="2" t="str">
        <f t="shared" si="346"/>
        <v>０００１</v>
      </c>
      <c r="G1219" s="2" t="str">
        <f>"4240004831"</f>
        <v>4240004831</v>
      </c>
      <c r="H1219" s="2" t="str">
        <f t="shared" si="347"/>
        <v>001</v>
      </c>
      <c r="I1219" s="2" t="str">
        <f>"4250226"</f>
        <v>4250226</v>
      </c>
      <c r="J1219" s="2">
        <f>180390</f>
        <v>180390</v>
      </c>
      <c r="K1219" s="2" t="str">
        <f t="shared" si="349"/>
        <v>台</v>
      </c>
      <c r="L1219" s="2" t="str">
        <f>"4250226"</f>
        <v>4250226</v>
      </c>
      <c r="M1219" s="2" t="str">
        <f>"4250226"</f>
        <v>4250226</v>
      </c>
    </row>
    <row r="1220" spans="1:13" x14ac:dyDescent="0.15">
      <c r="A1220" s="2" t="str">
        <f t="shared" si="342"/>
        <v>1881110500</v>
      </c>
      <c r="B1220" s="2" t="str">
        <f t="shared" si="343"/>
        <v>佐伯・区政調整</v>
      </c>
      <c r="C1220" s="2" t="str">
        <f>"05ｶ00658"</f>
        <v>05ｶ00658</v>
      </c>
      <c r="D1220" s="2" t="str">
        <f>"ミキサー"</f>
        <v>ミキサー</v>
      </c>
      <c r="E1220" s="3" t="str">
        <f>"ＹＡＭＡＨＡ　ＬＳ９－１６"</f>
        <v>ＹＡＭＡＨＡ　ＬＳ９－１６</v>
      </c>
      <c r="F1220" s="2" t="str">
        <f t="shared" si="346"/>
        <v>０００１</v>
      </c>
      <c r="G1220" s="2" t="str">
        <f>"4240004832"</f>
        <v>4240004832</v>
      </c>
      <c r="H1220" s="2" t="str">
        <f t="shared" si="347"/>
        <v>001</v>
      </c>
      <c r="I1220" s="2" t="str">
        <f>"4250312"</f>
        <v>4250312</v>
      </c>
      <c r="J1220" s="2">
        <f>556176</f>
        <v>556176</v>
      </c>
      <c r="K1220" s="2" t="str">
        <f t="shared" si="349"/>
        <v>台</v>
      </c>
      <c r="L1220" s="2" t="str">
        <f>"4250312"</f>
        <v>4250312</v>
      </c>
      <c r="M1220" s="2" t="str">
        <f>"4250312"</f>
        <v>4250312</v>
      </c>
    </row>
    <row r="1221" spans="1:13" x14ac:dyDescent="0.15">
      <c r="A1221" s="2" t="str">
        <f t="shared" si="342"/>
        <v>1881110500</v>
      </c>
      <c r="B1221" s="2" t="str">
        <f t="shared" si="343"/>
        <v>佐伯・区政調整</v>
      </c>
      <c r="C1221" s="2" t="str">
        <f>"05ｶ00801"</f>
        <v>05ｶ00801</v>
      </c>
      <c r="D1221" s="2" t="str">
        <f>"カバー"</f>
        <v>カバー</v>
      </c>
      <c r="E1221" s="3" t="str">
        <f>"ＧＰ－ＰＡＨ（ＣＦ－３Ｓ用）"</f>
        <v>ＧＰ－ＰＡＨ（ＣＦ－３Ｓ用）</v>
      </c>
      <c r="F1221" s="2" t="str">
        <f t="shared" si="346"/>
        <v>０００１</v>
      </c>
      <c r="G1221" s="2" t="str">
        <f>"4230003797"</f>
        <v>4230003797</v>
      </c>
      <c r="H1221" s="2" t="str">
        <f t="shared" si="347"/>
        <v>001</v>
      </c>
      <c r="I1221" s="2" t="str">
        <f>"4240322"</f>
        <v>4240322</v>
      </c>
      <c r="J1221" s="2">
        <f>56000</f>
        <v>56000</v>
      </c>
      <c r="K1221" s="2" t="str">
        <f>"枚"</f>
        <v>枚</v>
      </c>
      <c r="L1221" s="2" t="str">
        <f>"4240322"</f>
        <v>4240322</v>
      </c>
      <c r="M1221" s="2" t="str">
        <f>""</f>
        <v/>
      </c>
    </row>
    <row r="1222" spans="1:13" x14ac:dyDescent="0.15">
      <c r="A1222" s="2" t="str">
        <f t="shared" si="342"/>
        <v>1881110500</v>
      </c>
      <c r="B1222" s="2" t="str">
        <f t="shared" si="343"/>
        <v>佐伯・区政調整</v>
      </c>
      <c r="C1222" s="2" t="str">
        <f t="shared" ref="C1222:C1224" si="350">"05ｸ01101"</f>
        <v>05ｸ01101</v>
      </c>
      <c r="D1222" s="2" t="str">
        <f t="shared" ref="D1222:D1224" si="351">"くず入れ"</f>
        <v>くず入れ</v>
      </c>
      <c r="E1222" s="3" t="str">
        <f>"室内用　４００×２００×５９０"</f>
        <v>室内用　４００×２００×５９０</v>
      </c>
      <c r="F1222" s="2" t="str">
        <f t="shared" ref="F1222:F1231" si="352">"０００１"</f>
        <v>０００１</v>
      </c>
      <c r="G1222" s="2" t="str">
        <f>"3620004225"</f>
        <v>3620004225</v>
      </c>
      <c r="H1222" s="2" t="str">
        <f t="shared" ref="H1222:H1231" si="353">"001"</f>
        <v>001</v>
      </c>
      <c r="I1222" s="2" t="str">
        <f>"4100401"</f>
        <v>4100401</v>
      </c>
      <c r="J1222" s="2">
        <f>33000</f>
        <v>33000</v>
      </c>
      <c r="K1222" s="2" t="str">
        <f t="shared" ref="K1222:K1226" si="354">"個"</f>
        <v>個</v>
      </c>
      <c r="L1222" s="2" t="str">
        <f>"3630331"</f>
        <v>3630331</v>
      </c>
      <c r="M1222" s="2" t="str">
        <f>""</f>
        <v/>
      </c>
    </row>
    <row r="1223" spans="1:13" x14ac:dyDescent="0.15">
      <c r="A1223" s="2" t="str">
        <f t="shared" si="342"/>
        <v>1881110500</v>
      </c>
      <c r="B1223" s="2" t="str">
        <f t="shared" si="343"/>
        <v>佐伯・区政調整</v>
      </c>
      <c r="C1223" s="2" t="str">
        <f t="shared" si="350"/>
        <v>05ｸ01101</v>
      </c>
      <c r="D1223" s="2" t="str">
        <f t="shared" si="351"/>
        <v>くず入れ</v>
      </c>
      <c r="E1223" s="3" t="str">
        <f>"室内用　４００×２００×５９０"</f>
        <v>室内用　４００×２００×５９０</v>
      </c>
      <c r="F1223" s="2" t="str">
        <f t="shared" si="352"/>
        <v>０００１</v>
      </c>
      <c r="G1223" s="2" t="str">
        <f>"3620004226"</f>
        <v>3620004226</v>
      </c>
      <c r="H1223" s="2" t="str">
        <f t="shared" si="353"/>
        <v>001</v>
      </c>
      <c r="I1223" s="2" t="str">
        <f>"4100401"</f>
        <v>4100401</v>
      </c>
      <c r="J1223" s="2">
        <f>33000</f>
        <v>33000</v>
      </c>
      <c r="K1223" s="2" t="str">
        <f t="shared" si="354"/>
        <v>個</v>
      </c>
      <c r="L1223" s="2" t="str">
        <f>"3630331"</f>
        <v>3630331</v>
      </c>
      <c r="M1223" s="2" t="str">
        <f>""</f>
        <v/>
      </c>
    </row>
    <row r="1224" spans="1:13" x14ac:dyDescent="0.15">
      <c r="A1224" s="2" t="str">
        <f t="shared" si="342"/>
        <v>1881110500</v>
      </c>
      <c r="B1224" s="2" t="str">
        <f t="shared" si="343"/>
        <v>佐伯・区政調整</v>
      </c>
      <c r="C1224" s="2" t="str">
        <f t="shared" si="350"/>
        <v>05ｸ01101</v>
      </c>
      <c r="D1224" s="2" t="str">
        <f t="shared" si="351"/>
        <v>くず入れ</v>
      </c>
      <c r="E1224" s="3" t="str">
        <f>"室内用　４００×２００×５９０"</f>
        <v>室内用　４００×２００×５９０</v>
      </c>
      <c r="F1224" s="2" t="str">
        <f t="shared" si="352"/>
        <v>０００１</v>
      </c>
      <c r="G1224" s="2" t="str">
        <f>"3620004227"</f>
        <v>3620004227</v>
      </c>
      <c r="H1224" s="2" t="str">
        <f t="shared" si="353"/>
        <v>001</v>
      </c>
      <c r="I1224" s="2" t="str">
        <f>"4100401"</f>
        <v>4100401</v>
      </c>
      <c r="J1224" s="2">
        <f>33000</f>
        <v>33000</v>
      </c>
      <c r="K1224" s="2" t="str">
        <f t="shared" si="354"/>
        <v>個</v>
      </c>
      <c r="L1224" s="2" t="str">
        <f>"3630331"</f>
        <v>3630331</v>
      </c>
      <c r="M1224" s="2" t="str">
        <f>""</f>
        <v/>
      </c>
    </row>
    <row r="1225" spans="1:13" x14ac:dyDescent="0.15">
      <c r="A1225" s="2" t="str">
        <f t="shared" si="342"/>
        <v>1881110500</v>
      </c>
      <c r="B1225" s="2" t="str">
        <f t="shared" si="343"/>
        <v>佐伯・区政調整</v>
      </c>
      <c r="C1225" s="2" t="str">
        <f>"05ｹ00301"</f>
        <v>05ｹ00301</v>
      </c>
      <c r="D1225" s="2" t="str">
        <f>"げた箱"</f>
        <v>げた箱</v>
      </c>
      <c r="E1225" s="3" t="str">
        <f>"ＵＣＨＩＤＡ　６列４段２４人用"</f>
        <v>ＵＣＨＩＤＡ　６列４段２４人用</v>
      </c>
      <c r="F1225" s="2" t="str">
        <f t="shared" si="352"/>
        <v>０００１</v>
      </c>
      <c r="G1225" s="2" t="str">
        <f>"4190005495"</f>
        <v>4190005495</v>
      </c>
      <c r="H1225" s="2" t="str">
        <f t="shared" si="353"/>
        <v>001</v>
      </c>
      <c r="I1225" s="2" t="str">
        <f>"4200213"</f>
        <v>4200213</v>
      </c>
      <c r="J1225" s="2">
        <f>41950</f>
        <v>41950</v>
      </c>
      <c r="K1225" s="2" t="str">
        <f t="shared" si="354"/>
        <v>個</v>
      </c>
      <c r="L1225" s="2" t="str">
        <f>"4200213"</f>
        <v>4200213</v>
      </c>
      <c r="M1225" s="2" t="str">
        <f>"4200213"</f>
        <v>4200213</v>
      </c>
    </row>
    <row r="1226" spans="1:13" x14ac:dyDescent="0.15">
      <c r="A1226" s="2" t="str">
        <f t="shared" si="342"/>
        <v>1881110500</v>
      </c>
      <c r="B1226" s="2" t="str">
        <f t="shared" si="343"/>
        <v>佐伯・区政調整</v>
      </c>
      <c r="C1226" s="2" t="str">
        <f>"05ｹ00301"</f>
        <v>05ｹ00301</v>
      </c>
      <c r="D1226" s="2" t="str">
        <f>"げた箱"</f>
        <v>げた箱</v>
      </c>
      <c r="E1226" s="3" t="str">
        <f>"ＵＣＨＩＤＡ　６列４段２４人用"</f>
        <v>ＵＣＨＩＤＡ　６列４段２４人用</v>
      </c>
      <c r="F1226" s="2" t="str">
        <f t="shared" si="352"/>
        <v>０００１</v>
      </c>
      <c r="G1226" s="2" t="str">
        <f>"4190005496"</f>
        <v>4190005496</v>
      </c>
      <c r="H1226" s="2" t="str">
        <f t="shared" si="353"/>
        <v>001</v>
      </c>
      <c r="I1226" s="2" t="str">
        <f>"4200213"</f>
        <v>4200213</v>
      </c>
      <c r="J1226" s="2">
        <f>41950</f>
        <v>41950</v>
      </c>
      <c r="K1226" s="2" t="str">
        <f t="shared" si="354"/>
        <v>個</v>
      </c>
      <c r="L1226" s="2" t="str">
        <f>"4200213"</f>
        <v>4200213</v>
      </c>
      <c r="M1226" s="2" t="str">
        <f>"4200213"</f>
        <v>4200213</v>
      </c>
    </row>
    <row r="1227" spans="1:13" x14ac:dyDescent="0.15">
      <c r="A1227" s="2" t="str">
        <f t="shared" si="342"/>
        <v>1881110500</v>
      </c>
      <c r="B1227" s="2" t="str">
        <f t="shared" si="343"/>
        <v>佐伯・区政調整</v>
      </c>
      <c r="C1227" s="2" t="str">
        <f>"05ｺ00101"</f>
        <v>05ｺ00101</v>
      </c>
      <c r="D1227" s="2" t="str">
        <f>"碁盤"</f>
        <v>碁盤</v>
      </c>
      <c r="E1227" s="3" t="str">
        <f>"足付　新桂　２０号　松"</f>
        <v>足付　新桂　２０号　松</v>
      </c>
      <c r="F1227" s="2" t="str">
        <f t="shared" si="352"/>
        <v>０００１</v>
      </c>
      <c r="G1227" s="2" t="str">
        <f>"4260002652"</f>
        <v>4260002652</v>
      </c>
      <c r="H1227" s="2" t="str">
        <f t="shared" si="353"/>
        <v>001</v>
      </c>
      <c r="I1227" s="2" t="str">
        <f>"4260704"</f>
        <v>4260704</v>
      </c>
      <c r="J1227" s="2">
        <f>24000</f>
        <v>24000</v>
      </c>
      <c r="K1227" s="2" t="str">
        <f>"面"</f>
        <v>面</v>
      </c>
      <c r="L1227" s="2" t="str">
        <f>"4260704"</f>
        <v>4260704</v>
      </c>
      <c r="M1227" s="2" t="str">
        <f>"4260704"</f>
        <v>4260704</v>
      </c>
    </row>
    <row r="1228" spans="1:13" x14ac:dyDescent="0.15">
      <c r="A1228" s="2" t="str">
        <f t="shared" si="342"/>
        <v>1881110500</v>
      </c>
      <c r="B1228" s="2" t="str">
        <f t="shared" si="343"/>
        <v>佐伯・区政調整</v>
      </c>
      <c r="C1228" s="2" t="str">
        <f>"05ｺ01301"</f>
        <v>05ｺ01301</v>
      </c>
      <c r="D1228" s="2" t="str">
        <f>"コンパクトディスクプレーヤー"</f>
        <v>コンパクトディスクプレーヤー</v>
      </c>
      <c r="E1228" s="3" t="str">
        <f>"ティアック　カスタムＣＤ－４５０"</f>
        <v>ティアック　カスタムＣＤ－４５０</v>
      </c>
      <c r="F1228" s="2" t="str">
        <f t="shared" si="352"/>
        <v>０００１</v>
      </c>
      <c r="G1228" s="2" t="str">
        <f>"4120006810"</f>
        <v>4120006810</v>
      </c>
      <c r="H1228" s="2" t="str">
        <f t="shared" si="353"/>
        <v>001</v>
      </c>
      <c r="I1228" s="2" t="str">
        <f>"4120524"</f>
        <v>4120524</v>
      </c>
      <c r="J1228" s="2">
        <f>62475</f>
        <v>62475</v>
      </c>
      <c r="K1228" s="2" t="str">
        <f t="shared" ref="K1228:K1231" si="355">"台"</f>
        <v>台</v>
      </c>
      <c r="L1228" s="2" t="str">
        <f>"4120524"</f>
        <v>4120524</v>
      </c>
      <c r="M1228" s="2" t="str">
        <f>"4120524"</f>
        <v>4120524</v>
      </c>
    </row>
    <row r="1229" spans="1:13" x14ac:dyDescent="0.15">
      <c r="A1229" s="2" t="str">
        <f t="shared" si="342"/>
        <v>1881110500</v>
      </c>
      <c r="B1229" s="2" t="str">
        <f t="shared" si="343"/>
        <v>佐伯・区政調整</v>
      </c>
      <c r="C1229" s="2" t="str">
        <f>"05ｺ01301"</f>
        <v>05ｺ01301</v>
      </c>
      <c r="D1229" s="2" t="str">
        <f>"コンパクトディスクプレーヤー"</f>
        <v>コンパクトディスクプレーヤー</v>
      </c>
      <c r="E1229" s="3" t="str">
        <f>"ティアック　カスタムＣＤ－４５０"</f>
        <v>ティアック　カスタムＣＤ－４５０</v>
      </c>
      <c r="F1229" s="2" t="str">
        <f t="shared" si="352"/>
        <v>０００１</v>
      </c>
      <c r="G1229" s="2" t="str">
        <f>"4120006811"</f>
        <v>4120006811</v>
      </c>
      <c r="H1229" s="2" t="str">
        <f t="shared" si="353"/>
        <v>001</v>
      </c>
      <c r="I1229" s="2" t="str">
        <f>"4120524"</f>
        <v>4120524</v>
      </c>
      <c r="J1229" s="2">
        <f>62475</f>
        <v>62475</v>
      </c>
      <c r="K1229" s="2" t="str">
        <f t="shared" si="355"/>
        <v>台</v>
      </c>
      <c r="L1229" s="2" t="str">
        <f>"4120524"</f>
        <v>4120524</v>
      </c>
      <c r="M1229" s="2" t="str">
        <f>"4120524"</f>
        <v>4120524</v>
      </c>
    </row>
    <row r="1230" spans="1:13" x14ac:dyDescent="0.15">
      <c r="A1230" s="2" t="str">
        <f t="shared" si="342"/>
        <v>1881110500</v>
      </c>
      <c r="B1230" s="2" t="str">
        <f t="shared" si="343"/>
        <v>佐伯・区政調整</v>
      </c>
      <c r="C1230" s="2" t="str">
        <f>"05ｼ00103"</f>
        <v>05ｼ00103</v>
      </c>
      <c r="D1230" s="2" t="str">
        <f>"ベビーベット"</f>
        <v>ベビーベット</v>
      </c>
      <c r="E1230" s="3" t="str">
        <f>"マスセット　５６３６４"</f>
        <v>マスセット　５６３６４</v>
      </c>
      <c r="F1230" s="2" t="str">
        <f t="shared" si="352"/>
        <v>０００１</v>
      </c>
      <c r="G1230" s="2" t="str">
        <f>"4110004836"</f>
        <v>4110004836</v>
      </c>
      <c r="H1230" s="2" t="str">
        <f t="shared" si="353"/>
        <v>001</v>
      </c>
      <c r="I1230" s="2" t="str">
        <f>"4120316"</f>
        <v>4120316</v>
      </c>
      <c r="J1230" s="2">
        <f>57000</f>
        <v>57000</v>
      </c>
      <c r="K1230" s="2" t="str">
        <f t="shared" si="355"/>
        <v>台</v>
      </c>
      <c r="L1230" s="2" t="str">
        <f>"4120316"</f>
        <v>4120316</v>
      </c>
      <c r="M1230" s="2" t="str">
        <f>"4120316"</f>
        <v>4120316</v>
      </c>
    </row>
    <row r="1231" spans="1:13" x14ac:dyDescent="0.15">
      <c r="A1231" s="2" t="str">
        <f t="shared" si="342"/>
        <v>1881110500</v>
      </c>
      <c r="B1231" s="2" t="str">
        <f t="shared" si="343"/>
        <v>佐伯・区政調整</v>
      </c>
      <c r="C1231" s="2" t="str">
        <f>"05ｼ00103"</f>
        <v>05ｼ00103</v>
      </c>
      <c r="D1231" s="2" t="str">
        <f>"ベビーベット"</f>
        <v>ベビーベット</v>
      </c>
      <c r="E1231" s="3" t="str">
        <f>"マスセット　５６３６４"</f>
        <v>マスセット　５６３６４</v>
      </c>
      <c r="F1231" s="2" t="str">
        <f t="shared" si="352"/>
        <v>０００１</v>
      </c>
      <c r="G1231" s="2" t="str">
        <f>"4110004837"</f>
        <v>4110004837</v>
      </c>
      <c r="H1231" s="2" t="str">
        <f t="shared" si="353"/>
        <v>001</v>
      </c>
      <c r="I1231" s="2" t="str">
        <f>"4120316"</f>
        <v>4120316</v>
      </c>
      <c r="J1231" s="2">
        <f>57000</f>
        <v>57000</v>
      </c>
      <c r="K1231" s="2" t="str">
        <f t="shared" si="355"/>
        <v>台</v>
      </c>
      <c r="L1231" s="2" t="str">
        <f>"4120316"</f>
        <v>4120316</v>
      </c>
      <c r="M1231" s="2" t="str">
        <f>"4120316"</f>
        <v>4120316</v>
      </c>
    </row>
    <row r="1232" spans="1:13" x14ac:dyDescent="0.15">
      <c r="A1232" s="2" t="str">
        <f t="shared" si="342"/>
        <v>1881110500</v>
      </c>
      <c r="B1232" s="2" t="str">
        <f t="shared" si="343"/>
        <v>佐伯・区政調整</v>
      </c>
      <c r="C1232" s="2" t="str">
        <f>"05ｼ00601"</f>
        <v>05ｼ00601</v>
      </c>
      <c r="D1232" s="2" t="str">
        <f>"照明具"</f>
        <v>照明具</v>
      </c>
      <c r="E1232" s="3" t="str">
        <f>"エフェクトマシーン"</f>
        <v>エフェクトマシーン</v>
      </c>
      <c r="F1232" s="2" t="str">
        <f t="shared" ref="F1232:F1248" si="356">"０００１"</f>
        <v>０００１</v>
      </c>
      <c r="G1232" s="2" t="str">
        <f>"3620004228"</f>
        <v>3620004228</v>
      </c>
      <c r="H1232" s="2" t="str">
        <f t="shared" ref="H1232:H1252" si="357">"001"</f>
        <v>001</v>
      </c>
      <c r="I1232" s="2" t="str">
        <f t="shared" ref="I1232:I1242" si="358">"4100401"</f>
        <v>4100401</v>
      </c>
      <c r="J1232" s="2">
        <f>133800</f>
        <v>133800</v>
      </c>
      <c r="K1232" s="2" t="str">
        <f>"個"</f>
        <v>個</v>
      </c>
      <c r="L1232" s="2" t="str">
        <f t="shared" ref="L1232:L1242" si="359">"3630331"</f>
        <v>3630331</v>
      </c>
      <c r="M1232" s="2" t="str">
        <f>""</f>
        <v/>
      </c>
    </row>
    <row r="1233" spans="1:13" x14ac:dyDescent="0.15">
      <c r="A1233" s="2" t="str">
        <f t="shared" si="342"/>
        <v>1881110500</v>
      </c>
      <c r="B1233" s="2" t="str">
        <f t="shared" si="343"/>
        <v>佐伯・区政調整</v>
      </c>
      <c r="C1233" s="2" t="str">
        <f>"05ｼ00601"</f>
        <v>05ｼ00601</v>
      </c>
      <c r="D1233" s="2" t="str">
        <f>"照明具"</f>
        <v>照明具</v>
      </c>
      <c r="E1233" s="3" t="str">
        <f>"エフェクトマシーン"</f>
        <v>エフェクトマシーン</v>
      </c>
      <c r="F1233" s="2" t="str">
        <f t="shared" si="356"/>
        <v>０００１</v>
      </c>
      <c r="G1233" s="2" t="str">
        <f>"3620004229"</f>
        <v>3620004229</v>
      </c>
      <c r="H1233" s="2" t="str">
        <f t="shared" si="357"/>
        <v>001</v>
      </c>
      <c r="I1233" s="2" t="str">
        <f t="shared" si="358"/>
        <v>4100401</v>
      </c>
      <c r="J1233" s="2">
        <f>133800</f>
        <v>133800</v>
      </c>
      <c r="K1233" s="2" t="str">
        <f>"個"</f>
        <v>個</v>
      </c>
      <c r="L1233" s="2" t="str">
        <f t="shared" si="359"/>
        <v>3630331</v>
      </c>
      <c r="M1233" s="2" t="str">
        <f>""</f>
        <v/>
      </c>
    </row>
    <row r="1234" spans="1:13" x14ac:dyDescent="0.15">
      <c r="A1234" s="2" t="str">
        <f t="shared" si="342"/>
        <v>1881110500</v>
      </c>
      <c r="B1234" s="2" t="str">
        <f t="shared" si="343"/>
        <v>佐伯・区政調整</v>
      </c>
      <c r="C1234" s="2" t="str">
        <f t="shared" ref="C1234:C1248" si="360">"05ｼ02301"</f>
        <v>05ｼ02301</v>
      </c>
      <c r="D1234" s="2" t="str">
        <f t="shared" ref="D1234:D1248" si="361">"パーティション支柱"</f>
        <v>パーティション支柱</v>
      </c>
      <c r="E1234" s="3" t="str">
        <f t="shared" ref="E1234:E1241" si="362">"ロープ付"</f>
        <v>ロープ付</v>
      </c>
      <c r="F1234" s="2" t="str">
        <f t="shared" si="356"/>
        <v>０００１</v>
      </c>
      <c r="G1234" s="2" t="str">
        <f>"3620004230"</f>
        <v>3620004230</v>
      </c>
      <c r="H1234" s="2" t="str">
        <f t="shared" si="357"/>
        <v>001</v>
      </c>
      <c r="I1234" s="2" t="str">
        <f t="shared" si="358"/>
        <v>4100401</v>
      </c>
      <c r="J1234" s="2">
        <f>26000</f>
        <v>26000</v>
      </c>
      <c r="K1234" s="2" t="str">
        <f t="shared" ref="K1234:K1248" si="363">"本"</f>
        <v>本</v>
      </c>
      <c r="L1234" s="2" t="str">
        <f t="shared" si="359"/>
        <v>3630331</v>
      </c>
      <c r="M1234" s="2" t="str">
        <f>""</f>
        <v/>
      </c>
    </row>
    <row r="1235" spans="1:13" x14ac:dyDescent="0.15">
      <c r="A1235" s="2" t="str">
        <f t="shared" si="342"/>
        <v>1881110500</v>
      </c>
      <c r="B1235" s="2" t="str">
        <f t="shared" si="343"/>
        <v>佐伯・区政調整</v>
      </c>
      <c r="C1235" s="2" t="str">
        <f t="shared" si="360"/>
        <v>05ｼ02301</v>
      </c>
      <c r="D1235" s="2" t="str">
        <f t="shared" si="361"/>
        <v>パーティション支柱</v>
      </c>
      <c r="E1235" s="3" t="str">
        <f t="shared" si="362"/>
        <v>ロープ付</v>
      </c>
      <c r="F1235" s="2" t="str">
        <f t="shared" si="356"/>
        <v>０００１</v>
      </c>
      <c r="G1235" s="2" t="str">
        <f>"3620004231"</f>
        <v>3620004231</v>
      </c>
      <c r="H1235" s="2" t="str">
        <f t="shared" si="357"/>
        <v>001</v>
      </c>
      <c r="I1235" s="2" t="str">
        <f t="shared" si="358"/>
        <v>4100401</v>
      </c>
      <c r="J1235" s="2">
        <f>26000</f>
        <v>26000</v>
      </c>
      <c r="K1235" s="2" t="str">
        <f t="shared" si="363"/>
        <v>本</v>
      </c>
      <c r="L1235" s="2" t="str">
        <f t="shared" si="359"/>
        <v>3630331</v>
      </c>
      <c r="M1235" s="2" t="str">
        <f>""</f>
        <v/>
      </c>
    </row>
    <row r="1236" spans="1:13" x14ac:dyDescent="0.15">
      <c r="A1236" s="2" t="str">
        <f t="shared" si="342"/>
        <v>1881110500</v>
      </c>
      <c r="B1236" s="2" t="str">
        <f t="shared" si="343"/>
        <v>佐伯・区政調整</v>
      </c>
      <c r="C1236" s="2" t="str">
        <f t="shared" si="360"/>
        <v>05ｼ02301</v>
      </c>
      <c r="D1236" s="2" t="str">
        <f t="shared" si="361"/>
        <v>パーティション支柱</v>
      </c>
      <c r="E1236" s="3" t="str">
        <f t="shared" si="362"/>
        <v>ロープ付</v>
      </c>
      <c r="F1236" s="2" t="str">
        <f t="shared" si="356"/>
        <v>０００１</v>
      </c>
      <c r="G1236" s="2" t="str">
        <f>"3620004232"</f>
        <v>3620004232</v>
      </c>
      <c r="H1236" s="2" t="str">
        <f t="shared" si="357"/>
        <v>001</v>
      </c>
      <c r="I1236" s="2" t="str">
        <f t="shared" si="358"/>
        <v>4100401</v>
      </c>
      <c r="J1236" s="2">
        <f>26000</f>
        <v>26000</v>
      </c>
      <c r="K1236" s="2" t="str">
        <f t="shared" si="363"/>
        <v>本</v>
      </c>
      <c r="L1236" s="2" t="str">
        <f t="shared" si="359"/>
        <v>3630331</v>
      </c>
      <c r="M1236" s="2" t="str">
        <f>""</f>
        <v/>
      </c>
    </row>
    <row r="1237" spans="1:13" x14ac:dyDescent="0.15">
      <c r="A1237" s="2" t="str">
        <f t="shared" si="342"/>
        <v>1881110500</v>
      </c>
      <c r="B1237" s="2" t="str">
        <f t="shared" si="343"/>
        <v>佐伯・区政調整</v>
      </c>
      <c r="C1237" s="2" t="str">
        <f t="shared" si="360"/>
        <v>05ｼ02301</v>
      </c>
      <c r="D1237" s="2" t="str">
        <f t="shared" si="361"/>
        <v>パーティション支柱</v>
      </c>
      <c r="E1237" s="3" t="str">
        <f t="shared" si="362"/>
        <v>ロープ付</v>
      </c>
      <c r="F1237" s="2" t="str">
        <f t="shared" si="356"/>
        <v>０００１</v>
      </c>
      <c r="G1237" s="2" t="str">
        <f>"3620004233"</f>
        <v>3620004233</v>
      </c>
      <c r="H1237" s="2" t="str">
        <f t="shared" si="357"/>
        <v>001</v>
      </c>
      <c r="I1237" s="2" t="str">
        <f t="shared" si="358"/>
        <v>4100401</v>
      </c>
      <c r="J1237" s="2">
        <f>26000</f>
        <v>26000</v>
      </c>
      <c r="K1237" s="2" t="str">
        <f t="shared" si="363"/>
        <v>本</v>
      </c>
      <c r="L1237" s="2" t="str">
        <f t="shared" si="359"/>
        <v>3630331</v>
      </c>
      <c r="M1237" s="2" t="str">
        <f>""</f>
        <v/>
      </c>
    </row>
    <row r="1238" spans="1:13" x14ac:dyDescent="0.15">
      <c r="A1238" s="2" t="str">
        <f t="shared" si="342"/>
        <v>1881110500</v>
      </c>
      <c r="B1238" s="2" t="str">
        <f t="shared" si="343"/>
        <v>佐伯・区政調整</v>
      </c>
      <c r="C1238" s="2" t="str">
        <f t="shared" si="360"/>
        <v>05ｼ02301</v>
      </c>
      <c r="D1238" s="2" t="str">
        <f t="shared" si="361"/>
        <v>パーティション支柱</v>
      </c>
      <c r="E1238" s="3" t="str">
        <f t="shared" si="362"/>
        <v>ロープ付</v>
      </c>
      <c r="F1238" s="2" t="str">
        <f t="shared" si="356"/>
        <v>０００１</v>
      </c>
      <c r="G1238" s="2" t="str">
        <f>"3620004234"</f>
        <v>3620004234</v>
      </c>
      <c r="H1238" s="2" t="str">
        <f t="shared" si="357"/>
        <v>001</v>
      </c>
      <c r="I1238" s="2" t="str">
        <f t="shared" si="358"/>
        <v>4100401</v>
      </c>
      <c r="J1238" s="2">
        <f>26000</f>
        <v>26000</v>
      </c>
      <c r="K1238" s="2" t="str">
        <f t="shared" si="363"/>
        <v>本</v>
      </c>
      <c r="L1238" s="2" t="str">
        <f t="shared" si="359"/>
        <v>3630331</v>
      </c>
      <c r="M1238" s="2" t="str">
        <f>""</f>
        <v/>
      </c>
    </row>
    <row r="1239" spans="1:13" x14ac:dyDescent="0.15">
      <c r="A1239" s="2" t="str">
        <f t="shared" si="342"/>
        <v>1881110500</v>
      </c>
      <c r="B1239" s="2" t="str">
        <f t="shared" si="343"/>
        <v>佐伯・区政調整</v>
      </c>
      <c r="C1239" s="2" t="str">
        <f t="shared" si="360"/>
        <v>05ｼ02301</v>
      </c>
      <c r="D1239" s="2" t="str">
        <f t="shared" si="361"/>
        <v>パーティション支柱</v>
      </c>
      <c r="E1239" s="3" t="str">
        <f t="shared" si="362"/>
        <v>ロープ付</v>
      </c>
      <c r="F1239" s="2" t="str">
        <f t="shared" si="356"/>
        <v>０００１</v>
      </c>
      <c r="G1239" s="2" t="str">
        <f>"3620004235"</f>
        <v>3620004235</v>
      </c>
      <c r="H1239" s="2" t="str">
        <f t="shared" si="357"/>
        <v>001</v>
      </c>
      <c r="I1239" s="2" t="str">
        <f t="shared" si="358"/>
        <v>4100401</v>
      </c>
      <c r="J1239" s="2">
        <f>26000</f>
        <v>26000</v>
      </c>
      <c r="K1239" s="2" t="str">
        <f t="shared" si="363"/>
        <v>本</v>
      </c>
      <c r="L1239" s="2" t="str">
        <f t="shared" si="359"/>
        <v>3630331</v>
      </c>
      <c r="M1239" s="2" t="str">
        <f>""</f>
        <v/>
      </c>
    </row>
    <row r="1240" spans="1:13" x14ac:dyDescent="0.15">
      <c r="A1240" s="2" t="str">
        <f t="shared" si="342"/>
        <v>1881110500</v>
      </c>
      <c r="B1240" s="2" t="str">
        <f t="shared" si="343"/>
        <v>佐伯・区政調整</v>
      </c>
      <c r="C1240" s="2" t="str">
        <f t="shared" si="360"/>
        <v>05ｼ02301</v>
      </c>
      <c r="D1240" s="2" t="str">
        <f t="shared" si="361"/>
        <v>パーティション支柱</v>
      </c>
      <c r="E1240" s="3" t="str">
        <f t="shared" si="362"/>
        <v>ロープ付</v>
      </c>
      <c r="F1240" s="2" t="str">
        <f t="shared" si="356"/>
        <v>０００１</v>
      </c>
      <c r="G1240" s="2" t="str">
        <f>"3620004236"</f>
        <v>3620004236</v>
      </c>
      <c r="H1240" s="2" t="str">
        <f t="shared" si="357"/>
        <v>001</v>
      </c>
      <c r="I1240" s="2" t="str">
        <f t="shared" si="358"/>
        <v>4100401</v>
      </c>
      <c r="J1240" s="2">
        <f>26000</f>
        <v>26000</v>
      </c>
      <c r="K1240" s="2" t="str">
        <f t="shared" si="363"/>
        <v>本</v>
      </c>
      <c r="L1240" s="2" t="str">
        <f t="shared" si="359"/>
        <v>3630331</v>
      </c>
      <c r="M1240" s="2" t="str">
        <f>""</f>
        <v/>
      </c>
    </row>
    <row r="1241" spans="1:13" x14ac:dyDescent="0.15">
      <c r="A1241" s="2" t="str">
        <f t="shared" si="342"/>
        <v>1881110500</v>
      </c>
      <c r="B1241" s="2" t="str">
        <f t="shared" si="343"/>
        <v>佐伯・区政調整</v>
      </c>
      <c r="C1241" s="2" t="str">
        <f t="shared" si="360"/>
        <v>05ｼ02301</v>
      </c>
      <c r="D1241" s="2" t="str">
        <f t="shared" si="361"/>
        <v>パーティション支柱</v>
      </c>
      <c r="E1241" s="3" t="str">
        <f t="shared" si="362"/>
        <v>ロープ付</v>
      </c>
      <c r="F1241" s="2" t="str">
        <f t="shared" si="356"/>
        <v>０００１</v>
      </c>
      <c r="G1241" s="2" t="str">
        <f>"3620004238"</f>
        <v>3620004238</v>
      </c>
      <c r="H1241" s="2" t="str">
        <f t="shared" si="357"/>
        <v>001</v>
      </c>
      <c r="I1241" s="2" t="str">
        <f t="shared" si="358"/>
        <v>4100401</v>
      </c>
      <c r="J1241" s="2">
        <f>26000</f>
        <v>26000</v>
      </c>
      <c r="K1241" s="2" t="str">
        <f t="shared" si="363"/>
        <v>本</v>
      </c>
      <c r="L1241" s="2" t="str">
        <f t="shared" si="359"/>
        <v>3630331</v>
      </c>
      <c r="M1241" s="2" t="str">
        <f>""</f>
        <v/>
      </c>
    </row>
    <row r="1242" spans="1:13" x14ac:dyDescent="0.15">
      <c r="A1242" s="2" t="str">
        <f t="shared" si="342"/>
        <v>1881110500</v>
      </c>
      <c r="B1242" s="2" t="str">
        <f t="shared" si="343"/>
        <v>佐伯・区政調整</v>
      </c>
      <c r="C1242" s="2" t="str">
        <f t="shared" si="360"/>
        <v>05ｼ02301</v>
      </c>
      <c r="D1242" s="2" t="str">
        <f t="shared" si="361"/>
        <v>パーティション支柱</v>
      </c>
      <c r="E1242" s="3" t="str">
        <f>"ロープなし"</f>
        <v>ロープなし</v>
      </c>
      <c r="F1242" s="2" t="str">
        <f t="shared" si="356"/>
        <v>０００１</v>
      </c>
      <c r="G1242" s="2" t="str">
        <f>"3620004239"</f>
        <v>3620004239</v>
      </c>
      <c r="H1242" s="2" t="str">
        <f t="shared" si="357"/>
        <v>001</v>
      </c>
      <c r="I1242" s="2" t="str">
        <f t="shared" si="358"/>
        <v>4100401</v>
      </c>
      <c r="J1242" s="2">
        <f>20000</f>
        <v>20000</v>
      </c>
      <c r="K1242" s="2" t="str">
        <f t="shared" si="363"/>
        <v>本</v>
      </c>
      <c r="L1242" s="2" t="str">
        <f t="shared" si="359"/>
        <v>3630331</v>
      </c>
      <c r="M1242" s="2" t="str">
        <f>""</f>
        <v/>
      </c>
    </row>
    <row r="1243" spans="1:13" x14ac:dyDescent="0.15">
      <c r="A1243" s="2" t="str">
        <f t="shared" si="342"/>
        <v>1881110500</v>
      </c>
      <c r="B1243" s="2" t="str">
        <f t="shared" si="343"/>
        <v>佐伯・区政調整</v>
      </c>
      <c r="C1243" s="2" t="str">
        <f t="shared" si="360"/>
        <v>05ｼ02301</v>
      </c>
      <c r="D1243" s="2" t="str">
        <f t="shared" si="361"/>
        <v>パーティション支柱</v>
      </c>
      <c r="E1243" s="3" t="str">
        <f t="shared" ref="E1243:E1248" si="364">"ウチダ　ＴＢＰ－８３３"</f>
        <v>ウチダ　ＴＢＰ－８３３</v>
      </c>
      <c r="F1243" s="2" t="str">
        <f t="shared" si="356"/>
        <v>０００１</v>
      </c>
      <c r="G1243" s="2" t="str">
        <f>"4240004833"</f>
        <v>4240004833</v>
      </c>
      <c r="H1243" s="2" t="str">
        <f t="shared" si="357"/>
        <v>001</v>
      </c>
      <c r="I1243" s="2" t="str">
        <f t="shared" ref="I1243:I1248" si="365">"4250308"</f>
        <v>4250308</v>
      </c>
      <c r="J1243" s="2">
        <f t="shared" ref="J1243:J1248" si="366">180180</f>
        <v>180180</v>
      </c>
      <c r="K1243" s="2" t="str">
        <f t="shared" si="363"/>
        <v>本</v>
      </c>
      <c r="L1243" s="2" t="str">
        <f t="shared" ref="L1243:L1248" si="367">"4250308"</f>
        <v>4250308</v>
      </c>
      <c r="M1243" s="2" t="str">
        <f t="shared" ref="M1243:M1248" si="368">"4250308"</f>
        <v>4250308</v>
      </c>
    </row>
    <row r="1244" spans="1:13" x14ac:dyDescent="0.15">
      <c r="A1244" s="2" t="str">
        <f t="shared" si="342"/>
        <v>1881110500</v>
      </c>
      <c r="B1244" s="2" t="str">
        <f t="shared" si="343"/>
        <v>佐伯・区政調整</v>
      </c>
      <c r="C1244" s="2" t="str">
        <f t="shared" si="360"/>
        <v>05ｼ02301</v>
      </c>
      <c r="D1244" s="2" t="str">
        <f t="shared" si="361"/>
        <v>パーティション支柱</v>
      </c>
      <c r="E1244" s="3" t="str">
        <f t="shared" si="364"/>
        <v>ウチダ　ＴＢＰ－８３３</v>
      </c>
      <c r="F1244" s="2" t="str">
        <f t="shared" si="356"/>
        <v>０００１</v>
      </c>
      <c r="G1244" s="2" t="str">
        <f>"4240004834"</f>
        <v>4240004834</v>
      </c>
      <c r="H1244" s="2" t="str">
        <f t="shared" si="357"/>
        <v>001</v>
      </c>
      <c r="I1244" s="2" t="str">
        <f t="shared" si="365"/>
        <v>4250308</v>
      </c>
      <c r="J1244" s="2">
        <f t="shared" si="366"/>
        <v>180180</v>
      </c>
      <c r="K1244" s="2" t="str">
        <f t="shared" si="363"/>
        <v>本</v>
      </c>
      <c r="L1244" s="2" t="str">
        <f t="shared" si="367"/>
        <v>4250308</v>
      </c>
      <c r="M1244" s="2" t="str">
        <f t="shared" si="368"/>
        <v>4250308</v>
      </c>
    </row>
    <row r="1245" spans="1:13" x14ac:dyDescent="0.15">
      <c r="A1245" s="2" t="str">
        <f t="shared" si="342"/>
        <v>1881110500</v>
      </c>
      <c r="B1245" s="2" t="str">
        <f t="shared" si="343"/>
        <v>佐伯・区政調整</v>
      </c>
      <c r="C1245" s="2" t="str">
        <f t="shared" si="360"/>
        <v>05ｼ02301</v>
      </c>
      <c r="D1245" s="2" t="str">
        <f t="shared" si="361"/>
        <v>パーティション支柱</v>
      </c>
      <c r="E1245" s="3" t="str">
        <f t="shared" si="364"/>
        <v>ウチダ　ＴＢＰ－８３３</v>
      </c>
      <c r="F1245" s="2" t="str">
        <f t="shared" si="356"/>
        <v>０００１</v>
      </c>
      <c r="G1245" s="2" t="str">
        <f>"4240004835"</f>
        <v>4240004835</v>
      </c>
      <c r="H1245" s="2" t="str">
        <f t="shared" si="357"/>
        <v>001</v>
      </c>
      <c r="I1245" s="2" t="str">
        <f t="shared" si="365"/>
        <v>4250308</v>
      </c>
      <c r="J1245" s="2">
        <f t="shared" si="366"/>
        <v>180180</v>
      </c>
      <c r="K1245" s="2" t="str">
        <f t="shared" si="363"/>
        <v>本</v>
      </c>
      <c r="L1245" s="2" t="str">
        <f t="shared" si="367"/>
        <v>4250308</v>
      </c>
      <c r="M1245" s="2" t="str">
        <f t="shared" si="368"/>
        <v>4250308</v>
      </c>
    </row>
    <row r="1246" spans="1:13" x14ac:dyDescent="0.15">
      <c r="A1246" s="2" t="str">
        <f t="shared" ref="A1246:A1290" si="369">"1881110500"</f>
        <v>1881110500</v>
      </c>
      <c r="B1246" s="2" t="str">
        <f t="shared" ref="B1246:B1290" si="370">"佐伯・区政調整"</f>
        <v>佐伯・区政調整</v>
      </c>
      <c r="C1246" s="2" t="str">
        <f t="shared" si="360"/>
        <v>05ｼ02301</v>
      </c>
      <c r="D1246" s="2" t="str">
        <f t="shared" si="361"/>
        <v>パーティション支柱</v>
      </c>
      <c r="E1246" s="3" t="str">
        <f t="shared" si="364"/>
        <v>ウチダ　ＴＢＰ－８３３</v>
      </c>
      <c r="F1246" s="2" t="str">
        <f t="shared" si="356"/>
        <v>０００１</v>
      </c>
      <c r="G1246" s="2" t="str">
        <f>"4240004836"</f>
        <v>4240004836</v>
      </c>
      <c r="H1246" s="2" t="str">
        <f t="shared" si="357"/>
        <v>001</v>
      </c>
      <c r="I1246" s="2" t="str">
        <f t="shared" si="365"/>
        <v>4250308</v>
      </c>
      <c r="J1246" s="2">
        <f t="shared" si="366"/>
        <v>180180</v>
      </c>
      <c r="K1246" s="2" t="str">
        <f t="shared" si="363"/>
        <v>本</v>
      </c>
      <c r="L1246" s="2" t="str">
        <f t="shared" si="367"/>
        <v>4250308</v>
      </c>
      <c r="M1246" s="2" t="str">
        <f t="shared" si="368"/>
        <v>4250308</v>
      </c>
    </row>
    <row r="1247" spans="1:13" x14ac:dyDescent="0.15">
      <c r="A1247" s="2" t="str">
        <f t="shared" si="369"/>
        <v>1881110500</v>
      </c>
      <c r="B1247" s="2" t="str">
        <f t="shared" si="370"/>
        <v>佐伯・区政調整</v>
      </c>
      <c r="C1247" s="2" t="str">
        <f t="shared" si="360"/>
        <v>05ｼ02301</v>
      </c>
      <c r="D1247" s="2" t="str">
        <f t="shared" si="361"/>
        <v>パーティション支柱</v>
      </c>
      <c r="E1247" s="3" t="str">
        <f t="shared" si="364"/>
        <v>ウチダ　ＴＢＰ－８３３</v>
      </c>
      <c r="F1247" s="2" t="str">
        <f t="shared" si="356"/>
        <v>０００１</v>
      </c>
      <c r="G1247" s="2" t="str">
        <f>"4240004837"</f>
        <v>4240004837</v>
      </c>
      <c r="H1247" s="2" t="str">
        <f t="shared" si="357"/>
        <v>001</v>
      </c>
      <c r="I1247" s="2" t="str">
        <f t="shared" si="365"/>
        <v>4250308</v>
      </c>
      <c r="J1247" s="2">
        <f t="shared" si="366"/>
        <v>180180</v>
      </c>
      <c r="K1247" s="2" t="str">
        <f t="shared" si="363"/>
        <v>本</v>
      </c>
      <c r="L1247" s="2" t="str">
        <f t="shared" si="367"/>
        <v>4250308</v>
      </c>
      <c r="M1247" s="2" t="str">
        <f t="shared" si="368"/>
        <v>4250308</v>
      </c>
    </row>
    <row r="1248" spans="1:13" x14ac:dyDescent="0.15">
      <c r="A1248" s="2" t="str">
        <f t="shared" si="369"/>
        <v>1881110500</v>
      </c>
      <c r="B1248" s="2" t="str">
        <f t="shared" si="370"/>
        <v>佐伯・区政調整</v>
      </c>
      <c r="C1248" s="2" t="str">
        <f t="shared" si="360"/>
        <v>05ｼ02301</v>
      </c>
      <c r="D1248" s="2" t="str">
        <f t="shared" si="361"/>
        <v>パーティション支柱</v>
      </c>
      <c r="E1248" s="3" t="str">
        <f t="shared" si="364"/>
        <v>ウチダ　ＴＢＰ－８３３</v>
      </c>
      <c r="F1248" s="2" t="str">
        <f t="shared" si="356"/>
        <v>０００１</v>
      </c>
      <c r="G1248" s="2" t="str">
        <f>"4240004838"</f>
        <v>4240004838</v>
      </c>
      <c r="H1248" s="2" t="str">
        <f t="shared" si="357"/>
        <v>001</v>
      </c>
      <c r="I1248" s="2" t="str">
        <f t="shared" si="365"/>
        <v>4250308</v>
      </c>
      <c r="J1248" s="2">
        <f t="shared" si="366"/>
        <v>180180</v>
      </c>
      <c r="K1248" s="2" t="str">
        <f t="shared" si="363"/>
        <v>本</v>
      </c>
      <c r="L1248" s="2" t="str">
        <f t="shared" si="367"/>
        <v>4250308</v>
      </c>
      <c r="M1248" s="2" t="str">
        <f t="shared" si="368"/>
        <v>4250308</v>
      </c>
    </row>
    <row r="1249" spans="1:13" x14ac:dyDescent="0.15">
      <c r="A1249" s="2" t="str">
        <f t="shared" si="369"/>
        <v>1881110500</v>
      </c>
      <c r="B1249" s="2" t="str">
        <f t="shared" si="370"/>
        <v>佐伯・区政調整</v>
      </c>
      <c r="C1249" s="2" t="str">
        <f>"05ｽ00901"</f>
        <v>05ｽ00901</v>
      </c>
      <c r="D1249" s="2" t="str">
        <f>"スタンドパイプ"</f>
        <v>スタンドパイプ</v>
      </c>
      <c r="E1249" s="3" t="str">
        <f>"振り竹"</f>
        <v>振り竹</v>
      </c>
      <c r="F1249" s="2" t="str">
        <f>"０００１"</f>
        <v>０００１</v>
      </c>
      <c r="G1249" s="2" t="str">
        <f>"3620004240"</f>
        <v>3620004240</v>
      </c>
      <c r="H1249" s="2" t="str">
        <f t="shared" si="357"/>
        <v>001</v>
      </c>
      <c r="I1249" s="2" t="str">
        <f>"4100401"</f>
        <v>4100401</v>
      </c>
      <c r="J1249" s="2">
        <f>90000</f>
        <v>90000</v>
      </c>
      <c r="K1249" s="2" t="str">
        <f t="shared" ref="K1249:K1251" si="371">"個"</f>
        <v>個</v>
      </c>
      <c r="L1249" s="2" t="str">
        <f>"3630331"</f>
        <v>3630331</v>
      </c>
      <c r="M1249" s="2" t="str">
        <f>""</f>
        <v/>
      </c>
    </row>
    <row r="1250" spans="1:13" x14ac:dyDescent="0.15">
      <c r="A1250" s="2" t="str">
        <f t="shared" si="369"/>
        <v>1881110500</v>
      </c>
      <c r="B1250" s="2" t="str">
        <f t="shared" si="370"/>
        <v>佐伯・区政調整</v>
      </c>
      <c r="C1250" s="2" t="str">
        <f>"05ｽ00901"</f>
        <v>05ｽ00901</v>
      </c>
      <c r="D1250" s="2" t="str">
        <f>"スタンドパイプ"</f>
        <v>スタンドパイプ</v>
      </c>
      <c r="E1250" s="3" t="str">
        <f>"舞台照明用操作捧"</f>
        <v>舞台照明用操作捧</v>
      </c>
      <c r="F1250" s="2" t="str">
        <f>"０００１"</f>
        <v>０００１</v>
      </c>
      <c r="G1250" s="2" t="str">
        <f>"3620004241"</f>
        <v>3620004241</v>
      </c>
      <c r="H1250" s="2" t="str">
        <f t="shared" si="357"/>
        <v>001</v>
      </c>
      <c r="I1250" s="2" t="str">
        <f>"4100401"</f>
        <v>4100401</v>
      </c>
      <c r="J1250" s="2">
        <f>21800</f>
        <v>21800</v>
      </c>
      <c r="K1250" s="2" t="str">
        <f t="shared" si="371"/>
        <v>個</v>
      </c>
      <c r="L1250" s="2" t="str">
        <f>"3630331"</f>
        <v>3630331</v>
      </c>
      <c r="M1250" s="2" t="str">
        <f>""</f>
        <v/>
      </c>
    </row>
    <row r="1251" spans="1:13" x14ac:dyDescent="0.15">
      <c r="A1251" s="2" t="str">
        <f t="shared" si="369"/>
        <v>1881110500</v>
      </c>
      <c r="B1251" s="2" t="str">
        <f t="shared" si="370"/>
        <v>佐伯・区政調整</v>
      </c>
      <c r="C1251" s="2" t="str">
        <f>"05ｽ00901"</f>
        <v>05ｽ00901</v>
      </c>
      <c r="D1251" s="2" t="str">
        <f>"スタンドパイプ"</f>
        <v>スタンドパイプ</v>
      </c>
      <c r="E1251" s="3" t="str">
        <f>"舞台照明用操作捧"</f>
        <v>舞台照明用操作捧</v>
      </c>
      <c r="F1251" s="2" t="str">
        <f>"０００１"</f>
        <v>０００１</v>
      </c>
      <c r="G1251" s="2" t="str">
        <f>"3620004242"</f>
        <v>3620004242</v>
      </c>
      <c r="H1251" s="2" t="str">
        <f t="shared" si="357"/>
        <v>001</v>
      </c>
      <c r="I1251" s="2" t="str">
        <f>"4100401"</f>
        <v>4100401</v>
      </c>
      <c r="J1251" s="2">
        <f>21800</f>
        <v>21800</v>
      </c>
      <c r="K1251" s="2" t="str">
        <f t="shared" si="371"/>
        <v>個</v>
      </c>
      <c r="L1251" s="2" t="str">
        <f>"3630331"</f>
        <v>3630331</v>
      </c>
      <c r="M1251" s="2" t="str">
        <f>""</f>
        <v/>
      </c>
    </row>
    <row r="1252" spans="1:13" x14ac:dyDescent="0.15">
      <c r="A1252" s="2" t="str">
        <f t="shared" si="369"/>
        <v>1881110500</v>
      </c>
      <c r="B1252" s="2" t="str">
        <f t="shared" si="370"/>
        <v>佐伯・区政調整</v>
      </c>
      <c r="C1252" s="2" t="str">
        <f>"05ｾ00601"</f>
        <v>05ｾ00601</v>
      </c>
      <c r="D1252" s="2" t="str">
        <f>"製氷機"</f>
        <v>製氷機</v>
      </c>
      <c r="E1252" s="3" t="str">
        <f>"サンヨーＳ１ＭＥ３１"</f>
        <v>サンヨーＳ１ＭＥ３１</v>
      </c>
      <c r="F1252" s="2" t="str">
        <f>"０００１"</f>
        <v>０００１</v>
      </c>
      <c r="G1252" s="2" t="str">
        <f>"3620004243"</f>
        <v>3620004243</v>
      </c>
      <c r="H1252" s="2" t="str">
        <f t="shared" si="357"/>
        <v>001</v>
      </c>
      <c r="I1252" s="2" t="str">
        <f>"4100401"</f>
        <v>4100401</v>
      </c>
      <c r="J1252" s="2">
        <f>167000</f>
        <v>167000</v>
      </c>
      <c r="K1252" s="2" t="str">
        <f t="shared" ref="K1252:K1269" si="372">"台"</f>
        <v>台</v>
      </c>
      <c r="L1252" s="2" t="str">
        <f>"3630331"</f>
        <v>3630331</v>
      </c>
      <c r="M1252" s="2" t="str">
        <f>""</f>
        <v/>
      </c>
    </row>
    <row r="1253" spans="1:13" x14ac:dyDescent="0.15">
      <c r="A1253" s="2" t="str">
        <f t="shared" si="369"/>
        <v>1881110500</v>
      </c>
      <c r="B1253" s="2" t="str">
        <f t="shared" si="370"/>
        <v>佐伯・区政調整</v>
      </c>
      <c r="C1253" s="2" t="str">
        <f t="shared" ref="C1253:C1273" si="373">"05ﾀ00601"</f>
        <v>05ﾀ00601</v>
      </c>
      <c r="D1253" s="2" t="str">
        <f t="shared" ref="D1253:D1273" si="374">"台"</f>
        <v>台</v>
      </c>
      <c r="E1253" s="3" t="str">
        <f t="shared" ref="E1253:E1259" si="375">"工作台"</f>
        <v>工作台</v>
      </c>
      <c r="F1253" s="2" t="str">
        <f t="shared" ref="F1253:F1284" si="376">"０００１"</f>
        <v>０００１</v>
      </c>
      <c r="G1253" s="2" t="str">
        <f>"3620004244"</f>
        <v>3620004244</v>
      </c>
      <c r="H1253" s="2" t="str">
        <f t="shared" ref="H1253:H1276" si="377">"001"</f>
        <v>001</v>
      </c>
      <c r="I1253" s="2" t="str">
        <f t="shared" ref="I1253:I1279" si="378">"4100401"</f>
        <v>4100401</v>
      </c>
      <c r="J1253" s="2">
        <f>63700</f>
        <v>63700</v>
      </c>
      <c r="K1253" s="2" t="str">
        <f t="shared" si="372"/>
        <v>台</v>
      </c>
      <c r="L1253" s="2" t="str">
        <f t="shared" ref="L1253:L1259" si="379">"3630323"</f>
        <v>3630323</v>
      </c>
      <c r="M1253" s="2" t="str">
        <f>""</f>
        <v/>
      </c>
    </row>
    <row r="1254" spans="1:13" x14ac:dyDescent="0.15">
      <c r="A1254" s="2" t="str">
        <f t="shared" si="369"/>
        <v>1881110500</v>
      </c>
      <c r="B1254" s="2" t="str">
        <f t="shared" si="370"/>
        <v>佐伯・区政調整</v>
      </c>
      <c r="C1254" s="2" t="str">
        <f t="shared" si="373"/>
        <v>05ﾀ00601</v>
      </c>
      <c r="D1254" s="2" t="str">
        <f t="shared" si="374"/>
        <v>台</v>
      </c>
      <c r="E1254" s="3" t="str">
        <f t="shared" si="375"/>
        <v>工作台</v>
      </c>
      <c r="F1254" s="2" t="str">
        <f t="shared" si="376"/>
        <v>０００１</v>
      </c>
      <c r="G1254" s="2" t="str">
        <f>"3620004245"</f>
        <v>3620004245</v>
      </c>
      <c r="H1254" s="2" t="str">
        <f t="shared" si="377"/>
        <v>001</v>
      </c>
      <c r="I1254" s="2" t="str">
        <f t="shared" si="378"/>
        <v>4100401</v>
      </c>
      <c r="J1254" s="2">
        <f>63700</f>
        <v>63700</v>
      </c>
      <c r="K1254" s="2" t="str">
        <f t="shared" si="372"/>
        <v>台</v>
      </c>
      <c r="L1254" s="2" t="str">
        <f t="shared" si="379"/>
        <v>3630323</v>
      </c>
      <c r="M1254" s="2" t="str">
        <f>""</f>
        <v/>
      </c>
    </row>
    <row r="1255" spans="1:13" x14ac:dyDescent="0.15">
      <c r="A1255" s="2" t="str">
        <f t="shared" si="369"/>
        <v>1881110500</v>
      </c>
      <c r="B1255" s="2" t="str">
        <f t="shared" si="370"/>
        <v>佐伯・区政調整</v>
      </c>
      <c r="C1255" s="2" t="str">
        <f t="shared" si="373"/>
        <v>05ﾀ00601</v>
      </c>
      <c r="D1255" s="2" t="str">
        <f t="shared" si="374"/>
        <v>台</v>
      </c>
      <c r="E1255" s="3" t="str">
        <f t="shared" si="375"/>
        <v>工作台</v>
      </c>
      <c r="F1255" s="2" t="str">
        <f t="shared" si="376"/>
        <v>０００１</v>
      </c>
      <c r="G1255" s="2" t="str">
        <f>"3620004246"</f>
        <v>3620004246</v>
      </c>
      <c r="H1255" s="2" t="str">
        <f t="shared" si="377"/>
        <v>001</v>
      </c>
      <c r="I1255" s="2" t="str">
        <f t="shared" si="378"/>
        <v>4100401</v>
      </c>
      <c r="J1255" s="2">
        <f>63700</f>
        <v>63700</v>
      </c>
      <c r="K1255" s="2" t="str">
        <f t="shared" si="372"/>
        <v>台</v>
      </c>
      <c r="L1255" s="2" t="str">
        <f t="shared" si="379"/>
        <v>3630323</v>
      </c>
      <c r="M1255" s="2" t="str">
        <f>""</f>
        <v/>
      </c>
    </row>
    <row r="1256" spans="1:13" x14ac:dyDescent="0.15">
      <c r="A1256" s="2" t="str">
        <f t="shared" si="369"/>
        <v>1881110500</v>
      </c>
      <c r="B1256" s="2" t="str">
        <f t="shared" si="370"/>
        <v>佐伯・区政調整</v>
      </c>
      <c r="C1256" s="2" t="str">
        <f t="shared" si="373"/>
        <v>05ﾀ00601</v>
      </c>
      <c r="D1256" s="2" t="str">
        <f t="shared" si="374"/>
        <v>台</v>
      </c>
      <c r="E1256" s="3" t="str">
        <f t="shared" si="375"/>
        <v>工作台</v>
      </c>
      <c r="F1256" s="2" t="str">
        <f t="shared" si="376"/>
        <v>０００１</v>
      </c>
      <c r="G1256" s="2" t="str">
        <f>"3620004247"</f>
        <v>3620004247</v>
      </c>
      <c r="H1256" s="2" t="str">
        <f t="shared" si="377"/>
        <v>001</v>
      </c>
      <c r="I1256" s="2" t="str">
        <f t="shared" si="378"/>
        <v>4100401</v>
      </c>
      <c r="J1256" s="2">
        <f>63700</f>
        <v>63700</v>
      </c>
      <c r="K1256" s="2" t="str">
        <f t="shared" si="372"/>
        <v>台</v>
      </c>
      <c r="L1256" s="2" t="str">
        <f t="shared" si="379"/>
        <v>3630323</v>
      </c>
      <c r="M1256" s="2" t="str">
        <f>""</f>
        <v/>
      </c>
    </row>
    <row r="1257" spans="1:13" x14ac:dyDescent="0.15">
      <c r="A1257" s="2" t="str">
        <f t="shared" si="369"/>
        <v>1881110500</v>
      </c>
      <c r="B1257" s="2" t="str">
        <f t="shared" si="370"/>
        <v>佐伯・区政調整</v>
      </c>
      <c r="C1257" s="2" t="str">
        <f t="shared" si="373"/>
        <v>05ﾀ00601</v>
      </c>
      <c r="D1257" s="2" t="str">
        <f t="shared" si="374"/>
        <v>台</v>
      </c>
      <c r="E1257" s="3" t="str">
        <f t="shared" si="375"/>
        <v>工作台</v>
      </c>
      <c r="F1257" s="2" t="str">
        <f t="shared" si="376"/>
        <v>０００１</v>
      </c>
      <c r="G1257" s="2" t="str">
        <f>"3620004248"</f>
        <v>3620004248</v>
      </c>
      <c r="H1257" s="2" t="str">
        <f t="shared" si="377"/>
        <v>001</v>
      </c>
      <c r="I1257" s="2" t="str">
        <f t="shared" si="378"/>
        <v>4100401</v>
      </c>
      <c r="J1257" s="2">
        <f>63700</f>
        <v>63700</v>
      </c>
      <c r="K1257" s="2" t="str">
        <f t="shared" si="372"/>
        <v>台</v>
      </c>
      <c r="L1257" s="2" t="str">
        <f t="shared" si="379"/>
        <v>3630323</v>
      </c>
      <c r="M1257" s="2" t="str">
        <f>""</f>
        <v/>
      </c>
    </row>
    <row r="1258" spans="1:13" x14ac:dyDescent="0.15">
      <c r="A1258" s="2" t="str">
        <f t="shared" si="369"/>
        <v>1881110500</v>
      </c>
      <c r="B1258" s="2" t="str">
        <f t="shared" si="370"/>
        <v>佐伯・区政調整</v>
      </c>
      <c r="C1258" s="2" t="str">
        <f t="shared" si="373"/>
        <v>05ﾀ00601</v>
      </c>
      <c r="D1258" s="2" t="str">
        <f t="shared" si="374"/>
        <v>台</v>
      </c>
      <c r="E1258" s="3" t="str">
        <f t="shared" si="375"/>
        <v>工作台</v>
      </c>
      <c r="F1258" s="2" t="str">
        <f t="shared" si="376"/>
        <v>０００１</v>
      </c>
      <c r="G1258" s="2" t="str">
        <f>"3620004249"</f>
        <v>3620004249</v>
      </c>
      <c r="H1258" s="2" t="str">
        <f t="shared" si="377"/>
        <v>001</v>
      </c>
      <c r="I1258" s="2" t="str">
        <f t="shared" si="378"/>
        <v>4100401</v>
      </c>
      <c r="J1258" s="2">
        <f>63700</f>
        <v>63700</v>
      </c>
      <c r="K1258" s="2" t="str">
        <f t="shared" si="372"/>
        <v>台</v>
      </c>
      <c r="L1258" s="2" t="str">
        <f t="shared" si="379"/>
        <v>3630323</v>
      </c>
      <c r="M1258" s="2" t="str">
        <f>""</f>
        <v/>
      </c>
    </row>
    <row r="1259" spans="1:13" x14ac:dyDescent="0.15">
      <c r="A1259" s="2" t="str">
        <f t="shared" si="369"/>
        <v>1881110500</v>
      </c>
      <c r="B1259" s="2" t="str">
        <f t="shared" si="370"/>
        <v>佐伯・区政調整</v>
      </c>
      <c r="C1259" s="2" t="str">
        <f t="shared" si="373"/>
        <v>05ﾀ00601</v>
      </c>
      <c r="D1259" s="2" t="str">
        <f t="shared" si="374"/>
        <v>台</v>
      </c>
      <c r="E1259" s="3" t="str">
        <f t="shared" si="375"/>
        <v>工作台</v>
      </c>
      <c r="F1259" s="2" t="str">
        <f t="shared" si="376"/>
        <v>０００１</v>
      </c>
      <c r="G1259" s="2" t="str">
        <f>"3620004250"</f>
        <v>3620004250</v>
      </c>
      <c r="H1259" s="2" t="str">
        <f t="shared" si="377"/>
        <v>001</v>
      </c>
      <c r="I1259" s="2" t="str">
        <f t="shared" si="378"/>
        <v>4100401</v>
      </c>
      <c r="J1259" s="2">
        <f>63700</f>
        <v>63700</v>
      </c>
      <c r="K1259" s="2" t="str">
        <f t="shared" si="372"/>
        <v>台</v>
      </c>
      <c r="L1259" s="2" t="str">
        <f t="shared" si="379"/>
        <v>3630323</v>
      </c>
      <c r="M1259" s="2" t="str">
        <f>""</f>
        <v/>
      </c>
    </row>
    <row r="1260" spans="1:13" x14ac:dyDescent="0.15">
      <c r="A1260" s="2" t="str">
        <f t="shared" si="369"/>
        <v>1881110500</v>
      </c>
      <c r="B1260" s="2" t="str">
        <f t="shared" si="370"/>
        <v>佐伯・区政調整</v>
      </c>
      <c r="C1260" s="2" t="str">
        <f t="shared" si="373"/>
        <v>05ﾀ00601</v>
      </c>
      <c r="D1260" s="2" t="str">
        <f t="shared" si="374"/>
        <v>台</v>
      </c>
      <c r="E1260" s="3" t="str">
        <f>"指揮者台"</f>
        <v>指揮者台</v>
      </c>
      <c r="F1260" s="2" t="str">
        <f t="shared" si="376"/>
        <v>０００１</v>
      </c>
      <c r="G1260" s="2" t="str">
        <f>"3620004252"</f>
        <v>3620004252</v>
      </c>
      <c r="H1260" s="2" t="str">
        <f t="shared" si="377"/>
        <v>001</v>
      </c>
      <c r="I1260" s="2" t="str">
        <f t="shared" si="378"/>
        <v>4100401</v>
      </c>
      <c r="J1260" s="2">
        <f>66400</f>
        <v>66400</v>
      </c>
      <c r="K1260" s="2" t="str">
        <f t="shared" si="372"/>
        <v>台</v>
      </c>
      <c r="L1260" s="2" t="str">
        <f t="shared" ref="L1260:L1291" si="380">"3630331"</f>
        <v>3630331</v>
      </c>
      <c r="M1260" s="2" t="str">
        <f>""</f>
        <v/>
      </c>
    </row>
    <row r="1261" spans="1:13" x14ac:dyDescent="0.15">
      <c r="A1261" s="2" t="str">
        <f t="shared" si="369"/>
        <v>1881110500</v>
      </c>
      <c r="B1261" s="2" t="str">
        <f t="shared" si="370"/>
        <v>佐伯・区政調整</v>
      </c>
      <c r="C1261" s="2" t="str">
        <f t="shared" si="373"/>
        <v>05ﾀ00601</v>
      </c>
      <c r="D1261" s="2" t="str">
        <f t="shared" si="374"/>
        <v>台</v>
      </c>
      <c r="E1261" s="3" t="str">
        <f>"移動ステージ"</f>
        <v>移動ステージ</v>
      </c>
      <c r="F1261" s="2" t="str">
        <f t="shared" si="376"/>
        <v>０００１</v>
      </c>
      <c r="G1261" s="2" t="str">
        <f>"3620004253"</f>
        <v>3620004253</v>
      </c>
      <c r="H1261" s="2" t="str">
        <f t="shared" si="377"/>
        <v>001</v>
      </c>
      <c r="I1261" s="2" t="str">
        <f t="shared" si="378"/>
        <v>4100401</v>
      </c>
      <c r="J1261" s="2">
        <f>304900</f>
        <v>304900</v>
      </c>
      <c r="K1261" s="2" t="str">
        <f t="shared" si="372"/>
        <v>台</v>
      </c>
      <c r="L1261" s="2" t="str">
        <f t="shared" si="380"/>
        <v>3630331</v>
      </c>
      <c r="M1261" s="2" t="str">
        <f>""</f>
        <v/>
      </c>
    </row>
    <row r="1262" spans="1:13" x14ac:dyDescent="0.15">
      <c r="A1262" s="2" t="str">
        <f t="shared" si="369"/>
        <v>1881110500</v>
      </c>
      <c r="B1262" s="2" t="str">
        <f t="shared" si="370"/>
        <v>佐伯・区政調整</v>
      </c>
      <c r="C1262" s="2" t="str">
        <f t="shared" si="373"/>
        <v>05ﾀ00601</v>
      </c>
      <c r="D1262" s="2" t="str">
        <f t="shared" si="374"/>
        <v>台</v>
      </c>
      <c r="E1262" s="3" t="str">
        <f>"移動ステージ"</f>
        <v>移動ステージ</v>
      </c>
      <c r="F1262" s="2" t="str">
        <f t="shared" si="376"/>
        <v>０００１</v>
      </c>
      <c r="G1262" s="2" t="str">
        <f>"3620004254"</f>
        <v>3620004254</v>
      </c>
      <c r="H1262" s="2" t="str">
        <f t="shared" si="377"/>
        <v>001</v>
      </c>
      <c r="I1262" s="2" t="str">
        <f t="shared" si="378"/>
        <v>4100401</v>
      </c>
      <c r="J1262" s="2">
        <f>304900</f>
        <v>304900</v>
      </c>
      <c r="K1262" s="2" t="str">
        <f t="shared" si="372"/>
        <v>台</v>
      </c>
      <c r="L1262" s="2" t="str">
        <f t="shared" si="380"/>
        <v>3630331</v>
      </c>
      <c r="M1262" s="2" t="str">
        <f>""</f>
        <v/>
      </c>
    </row>
    <row r="1263" spans="1:13" x14ac:dyDescent="0.15">
      <c r="A1263" s="2" t="str">
        <f t="shared" si="369"/>
        <v>1881110500</v>
      </c>
      <c r="B1263" s="2" t="str">
        <f t="shared" si="370"/>
        <v>佐伯・区政調整</v>
      </c>
      <c r="C1263" s="2" t="str">
        <f t="shared" si="373"/>
        <v>05ﾀ00601</v>
      </c>
      <c r="D1263" s="2" t="str">
        <f t="shared" si="374"/>
        <v>台</v>
      </c>
      <c r="E1263" s="3" t="str">
        <f>"テレビ台"</f>
        <v>テレビ台</v>
      </c>
      <c r="F1263" s="2" t="str">
        <f t="shared" si="376"/>
        <v>０００１</v>
      </c>
      <c r="G1263" s="2" t="str">
        <f>"3620004255"</f>
        <v>3620004255</v>
      </c>
      <c r="H1263" s="2" t="str">
        <f t="shared" si="377"/>
        <v>001</v>
      </c>
      <c r="I1263" s="2" t="str">
        <f t="shared" si="378"/>
        <v>4100401</v>
      </c>
      <c r="J1263" s="2">
        <f>69500</f>
        <v>69500</v>
      </c>
      <c r="K1263" s="2" t="str">
        <f t="shared" si="372"/>
        <v>台</v>
      </c>
      <c r="L1263" s="2" t="str">
        <f t="shared" si="380"/>
        <v>3630331</v>
      </c>
      <c r="M1263" s="2" t="str">
        <f>""</f>
        <v/>
      </c>
    </row>
    <row r="1264" spans="1:13" x14ac:dyDescent="0.15">
      <c r="A1264" s="2" t="str">
        <f t="shared" si="369"/>
        <v>1881110500</v>
      </c>
      <c r="B1264" s="2" t="str">
        <f t="shared" si="370"/>
        <v>佐伯・区政調整</v>
      </c>
      <c r="C1264" s="2" t="str">
        <f t="shared" si="373"/>
        <v>05ﾀ00601</v>
      </c>
      <c r="D1264" s="2" t="str">
        <f t="shared" si="374"/>
        <v>台</v>
      </c>
      <c r="E1264" s="3" t="str">
        <f>"テレビ台"</f>
        <v>テレビ台</v>
      </c>
      <c r="F1264" s="2" t="str">
        <f t="shared" si="376"/>
        <v>０００１</v>
      </c>
      <c r="G1264" s="2" t="str">
        <f>"3620004256"</f>
        <v>3620004256</v>
      </c>
      <c r="H1264" s="2" t="str">
        <f t="shared" si="377"/>
        <v>001</v>
      </c>
      <c r="I1264" s="2" t="str">
        <f t="shared" si="378"/>
        <v>4100401</v>
      </c>
      <c r="J1264" s="2">
        <f>69500</f>
        <v>69500</v>
      </c>
      <c r="K1264" s="2" t="str">
        <f t="shared" si="372"/>
        <v>台</v>
      </c>
      <c r="L1264" s="2" t="str">
        <f t="shared" si="380"/>
        <v>3630331</v>
      </c>
      <c r="M1264" s="2" t="str">
        <f>""</f>
        <v/>
      </c>
    </row>
    <row r="1265" spans="1:13" x14ac:dyDescent="0.15">
      <c r="A1265" s="2" t="str">
        <f t="shared" si="369"/>
        <v>1881110500</v>
      </c>
      <c r="B1265" s="2" t="str">
        <f t="shared" si="370"/>
        <v>佐伯・区政調整</v>
      </c>
      <c r="C1265" s="2" t="str">
        <f t="shared" si="373"/>
        <v>05ﾀ00601</v>
      </c>
      <c r="D1265" s="2" t="str">
        <f t="shared" si="374"/>
        <v>台</v>
      </c>
      <c r="E1265" s="3" t="str">
        <f>"テレビ台"</f>
        <v>テレビ台</v>
      </c>
      <c r="F1265" s="2" t="str">
        <f t="shared" si="376"/>
        <v>０００１</v>
      </c>
      <c r="G1265" s="2" t="str">
        <f>"3620004257"</f>
        <v>3620004257</v>
      </c>
      <c r="H1265" s="2" t="str">
        <f t="shared" si="377"/>
        <v>001</v>
      </c>
      <c r="I1265" s="2" t="str">
        <f t="shared" si="378"/>
        <v>4100401</v>
      </c>
      <c r="J1265" s="2">
        <f>69500</f>
        <v>69500</v>
      </c>
      <c r="K1265" s="2" t="str">
        <f t="shared" si="372"/>
        <v>台</v>
      </c>
      <c r="L1265" s="2" t="str">
        <f t="shared" si="380"/>
        <v>3630331</v>
      </c>
      <c r="M1265" s="2" t="str">
        <f>""</f>
        <v/>
      </c>
    </row>
    <row r="1266" spans="1:13" x14ac:dyDescent="0.15">
      <c r="A1266" s="2" t="str">
        <f t="shared" si="369"/>
        <v>1881110500</v>
      </c>
      <c r="B1266" s="2" t="str">
        <f t="shared" si="370"/>
        <v>佐伯・区政調整</v>
      </c>
      <c r="C1266" s="2" t="str">
        <f t="shared" si="373"/>
        <v>05ﾀ00601</v>
      </c>
      <c r="D1266" s="2" t="str">
        <f t="shared" si="374"/>
        <v>台</v>
      </c>
      <c r="E1266" s="3" t="str">
        <f t="shared" ref="E1266:E1294" si="381">"所作台"</f>
        <v>所作台</v>
      </c>
      <c r="F1266" s="2" t="str">
        <f t="shared" si="376"/>
        <v>０００１</v>
      </c>
      <c r="G1266" s="2" t="str">
        <f>"3620004258"</f>
        <v>3620004258</v>
      </c>
      <c r="H1266" s="2" t="str">
        <f t="shared" si="377"/>
        <v>001</v>
      </c>
      <c r="I1266" s="2" t="str">
        <f t="shared" si="378"/>
        <v>4100401</v>
      </c>
      <c r="J1266" s="2">
        <f t="shared" ref="J1266:J1290" si="382">208000</f>
        <v>208000</v>
      </c>
      <c r="K1266" s="2" t="str">
        <f t="shared" si="372"/>
        <v>台</v>
      </c>
      <c r="L1266" s="2" t="str">
        <f t="shared" si="380"/>
        <v>3630331</v>
      </c>
      <c r="M1266" s="2" t="str">
        <f>""</f>
        <v/>
      </c>
    </row>
    <row r="1267" spans="1:13" x14ac:dyDescent="0.15">
      <c r="A1267" s="2" t="str">
        <f t="shared" si="369"/>
        <v>1881110500</v>
      </c>
      <c r="B1267" s="2" t="str">
        <f t="shared" si="370"/>
        <v>佐伯・区政調整</v>
      </c>
      <c r="C1267" s="2" t="str">
        <f t="shared" si="373"/>
        <v>05ﾀ00601</v>
      </c>
      <c r="D1267" s="2" t="str">
        <f t="shared" si="374"/>
        <v>台</v>
      </c>
      <c r="E1267" s="3" t="str">
        <f t="shared" si="381"/>
        <v>所作台</v>
      </c>
      <c r="F1267" s="2" t="str">
        <f t="shared" si="376"/>
        <v>０００１</v>
      </c>
      <c r="G1267" s="2" t="str">
        <f>"3620004259"</f>
        <v>3620004259</v>
      </c>
      <c r="H1267" s="2" t="str">
        <f t="shared" si="377"/>
        <v>001</v>
      </c>
      <c r="I1267" s="2" t="str">
        <f t="shared" si="378"/>
        <v>4100401</v>
      </c>
      <c r="J1267" s="2">
        <f t="shared" si="382"/>
        <v>208000</v>
      </c>
      <c r="K1267" s="2" t="str">
        <f t="shared" si="372"/>
        <v>台</v>
      </c>
      <c r="L1267" s="2" t="str">
        <f t="shared" si="380"/>
        <v>3630331</v>
      </c>
      <c r="M1267" s="2" t="str">
        <f>""</f>
        <v/>
      </c>
    </row>
    <row r="1268" spans="1:13" x14ac:dyDescent="0.15">
      <c r="A1268" s="2" t="str">
        <f t="shared" si="369"/>
        <v>1881110500</v>
      </c>
      <c r="B1268" s="2" t="str">
        <f t="shared" si="370"/>
        <v>佐伯・区政調整</v>
      </c>
      <c r="C1268" s="2" t="str">
        <f t="shared" si="373"/>
        <v>05ﾀ00601</v>
      </c>
      <c r="D1268" s="2" t="str">
        <f t="shared" si="374"/>
        <v>台</v>
      </c>
      <c r="E1268" s="3" t="str">
        <f t="shared" si="381"/>
        <v>所作台</v>
      </c>
      <c r="F1268" s="2" t="str">
        <f t="shared" si="376"/>
        <v>０００１</v>
      </c>
      <c r="G1268" s="2" t="str">
        <f>"3620004260"</f>
        <v>3620004260</v>
      </c>
      <c r="H1268" s="2" t="str">
        <f t="shared" si="377"/>
        <v>001</v>
      </c>
      <c r="I1268" s="2" t="str">
        <f t="shared" si="378"/>
        <v>4100401</v>
      </c>
      <c r="J1268" s="2">
        <f t="shared" si="382"/>
        <v>208000</v>
      </c>
      <c r="K1268" s="2" t="str">
        <f t="shared" si="372"/>
        <v>台</v>
      </c>
      <c r="L1268" s="2" t="str">
        <f t="shared" si="380"/>
        <v>3630331</v>
      </c>
      <c r="M1268" s="2" t="str">
        <f>""</f>
        <v/>
      </c>
    </row>
    <row r="1269" spans="1:13" x14ac:dyDescent="0.15">
      <c r="A1269" s="2" t="str">
        <f t="shared" si="369"/>
        <v>1881110500</v>
      </c>
      <c r="B1269" s="2" t="str">
        <f t="shared" si="370"/>
        <v>佐伯・区政調整</v>
      </c>
      <c r="C1269" s="2" t="str">
        <f t="shared" si="373"/>
        <v>05ﾀ00601</v>
      </c>
      <c r="D1269" s="2" t="str">
        <f t="shared" si="374"/>
        <v>台</v>
      </c>
      <c r="E1269" s="3" t="str">
        <f t="shared" si="381"/>
        <v>所作台</v>
      </c>
      <c r="F1269" s="2" t="str">
        <f t="shared" si="376"/>
        <v>０００１</v>
      </c>
      <c r="G1269" s="2" t="str">
        <f>"3620004261"</f>
        <v>3620004261</v>
      </c>
      <c r="H1269" s="2" t="str">
        <f t="shared" si="377"/>
        <v>001</v>
      </c>
      <c r="I1269" s="2" t="str">
        <f t="shared" si="378"/>
        <v>4100401</v>
      </c>
      <c r="J1269" s="2">
        <f t="shared" si="382"/>
        <v>208000</v>
      </c>
      <c r="K1269" s="2" t="str">
        <f t="shared" si="372"/>
        <v>台</v>
      </c>
      <c r="L1269" s="2" t="str">
        <f t="shared" si="380"/>
        <v>3630331</v>
      </c>
      <c r="M1269" s="2" t="str">
        <f>""</f>
        <v/>
      </c>
    </row>
    <row r="1270" spans="1:13" x14ac:dyDescent="0.15">
      <c r="A1270" s="2" t="str">
        <f t="shared" si="369"/>
        <v>1881110500</v>
      </c>
      <c r="B1270" s="2" t="str">
        <f t="shared" si="370"/>
        <v>佐伯・区政調整</v>
      </c>
      <c r="C1270" s="2" t="str">
        <f t="shared" si="373"/>
        <v>05ﾀ00601</v>
      </c>
      <c r="D1270" s="2" t="str">
        <f t="shared" si="374"/>
        <v>台</v>
      </c>
      <c r="E1270" s="3" t="str">
        <f t="shared" si="381"/>
        <v>所作台</v>
      </c>
      <c r="F1270" s="2" t="str">
        <f t="shared" si="376"/>
        <v>０００１</v>
      </c>
      <c r="G1270" s="2" t="str">
        <f>"3620004262"</f>
        <v>3620004262</v>
      </c>
      <c r="H1270" s="2" t="str">
        <f t="shared" si="377"/>
        <v>001</v>
      </c>
      <c r="I1270" s="2" t="str">
        <f t="shared" si="378"/>
        <v>4100401</v>
      </c>
      <c r="J1270" s="2">
        <f t="shared" si="382"/>
        <v>208000</v>
      </c>
      <c r="K1270" s="2" t="str">
        <f t="shared" ref="K1270:K1301" si="383">"台"</f>
        <v>台</v>
      </c>
      <c r="L1270" s="2" t="str">
        <f t="shared" si="380"/>
        <v>3630331</v>
      </c>
      <c r="M1270" s="2" t="str">
        <f>""</f>
        <v/>
      </c>
    </row>
    <row r="1271" spans="1:13" x14ac:dyDescent="0.15">
      <c r="A1271" s="2" t="str">
        <f t="shared" si="369"/>
        <v>1881110500</v>
      </c>
      <c r="B1271" s="2" t="str">
        <f t="shared" si="370"/>
        <v>佐伯・区政調整</v>
      </c>
      <c r="C1271" s="2" t="str">
        <f t="shared" si="373"/>
        <v>05ﾀ00601</v>
      </c>
      <c r="D1271" s="2" t="str">
        <f t="shared" si="374"/>
        <v>台</v>
      </c>
      <c r="E1271" s="3" t="str">
        <f t="shared" si="381"/>
        <v>所作台</v>
      </c>
      <c r="F1271" s="2" t="str">
        <f t="shared" si="376"/>
        <v>０００１</v>
      </c>
      <c r="G1271" s="2" t="str">
        <f>"3620004263"</f>
        <v>3620004263</v>
      </c>
      <c r="H1271" s="2" t="str">
        <f t="shared" si="377"/>
        <v>001</v>
      </c>
      <c r="I1271" s="2" t="str">
        <f t="shared" si="378"/>
        <v>4100401</v>
      </c>
      <c r="J1271" s="2">
        <f t="shared" si="382"/>
        <v>208000</v>
      </c>
      <c r="K1271" s="2" t="str">
        <f t="shared" si="383"/>
        <v>台</v>
      </c>
      <c r="L1271" s="2" t="str">
        <f t="shared" si="380"/>
        <v>3630331</v>
      </c>
      <c r="M1271" s="2" t="str">
        <f>""</f>
        <v/>
      </c>
    </row>
    <row r="1272" spans="1:13" x14ac:dyDescent="0.15">
      <c r="A1272" s="2" t="str">
        <f t="shared" si="369"/>
        <v>1881110500</v>
      </c>
      <c r="B1272" s="2" t="str">
        <f t="shared" si="370"/>
        <v>佐伯・区政調整</v>
      </c>
      <c r="C1272" s="2" t="str">
        <f t="shared" si="373"/>
        <v>05ﾀ00601</v>
      </c>
      <c r="D1272" s="2" t="str">
        <f t="shared" si="374"/>
        <v>台</v>
      </c>
      <c r="E1272" s="3" t="str">
        <f t="shared" si="381"/>
        <v>所作台</v>
      </c>
      <c r="F1272" s="2" t="str">
        <f t="shared" si="376"/>
        <v>０００１</v>
      </c>
      <c r="G1272" s="2" t="str">
        <f>"3620004264"</f>
        <v>3620004264</v>
      </c>
      <c r="H1272" s="2" t="str">
        <f t="shared" si="377"/>
        <v>001</v>
      </c>
      <c r="I1272" s="2" t="str">
        <f t="shared" si="378"/>
        <v>4100401</v>
      </c>
      <c r="J1272" s="2">
        <f t="shared" si="382"/>
        <v>208000</v>
      </c>
      <c r="K1272" s="2" t="str">
        <f t="shared" si="383"/>
        <v>台</v>
      </c>
      <c r="L1272" s="2" t="str">
        <f t="shared" si="380"/>
        <v>3630331</v>
      </c>
      <c r="M1272" s="2" t="str">
        <f>""</f>
        <v/>
      </c>
    </row>
    <row r="1273" spans="1:13" x14ac:dyDescent="0.15">
      <c r="A1273" s="2" t="str">
        <f t="shared" si="369"/>
        <v>1881110500</v>
      </c>
      <c r="B1273" s="2" t="str">
        <f t="shared" si="370"/>
        <v>佐伯・区政調整</v>
      </c>
      <c r="C1273" s="2" t="str">
        <f t="shared" si="373"/>
        <v>05ﾀ00601</v>
      </c>
      <c r="D1273" s="2" t="str">
        <f t="shared" si="374"/>
        <v>台</v>
      </c>
      <c r="E1273" s="3" t="str">
        <f t="shared" si="381"/>
        <v>所作台</v>
      </c>
      <c r="F1273" s="2" t="str">
        <f t="shared" si="376"/>
        <v>０００１</v>
      </c>
      <c r="G1273" s="2" t="str">
        <f>"3620004265"</f>
        <v>3620004265</v>
      </c>
      <c r="H1273" s="2" t="str">
        <f t="shared" si="377"/>
        <v>001</v>
      </c>
      <c r="I1273" s="2" t="str">
        <f t="shared" si="378"/>
        <v>4100401</v>
      </c>
      <c r="J1273" s="2">
        <f t="shared" si="382"/>
        <v>208000</v>
      </c>
      <c r="K1273" s="2" t="str">
        <f t="shared" si="383"/>
        <v>台</v>
      </c>
      <c r="L1273" s="2" t="str">
        <f t="shared" si="380"/>
        <v>3630331</v>
      </c>
      <c r="M1273" s="2" t="str">
        <f>""</f>
        <v/>
      </c>
    </row>
    <row r="1274" spans="1:13" x14ac:dyDescent="0.15">
      <c r="A1274" s="2" t="str">
        <f t="shared" si="369"/>
        <v>1881110500</v>
      </c>
      <c r="B1274" s="2" t="str">
        <f t="shared" si="370"/>
        <v>佐伯・区政調整</v>
      </c>
      <c r="C1274" s="2" t="str">
        <f t="shared" ref="C1274:C1305" si="384">"05ﾀ00601"</f>
        <v>05ﾀ00601</v>
      </c>
      <c r="D1274" s="2" t="str">
        <f t="shared" ref="D1274:D1305" si="385">"台"</f>
        <v>台</v>
      </c>
      <c r="E1274" s="3" t="str">
        <f t="shared" si="381"/>
        <v>所作台</v>
      </c>
      <c r="F1274" s="2" t="str">
        <f t="shared" si="376"/>
        <v>０００１</v>
      </c>
      <c r="G1274" s="2" t="str">
        <f>"3620004266"</f>
        <v>3620004266</v>
      </c>
      <c r="H1274" s="2" t="str">
        <f t="shared" si="377"/>
        <v>001</v>
      </c>
      <c r="I1274" s="2" t="str">
        <f t="shared" si="378"/>
        <v>4100401</v>
      </c>
      <c r="J1274" s="2">
        <f t="shared" si="382"/>
        <v>208000</v>
      </c>
      <c r="K1274" s="2" t="str">
        <f t="shared" si="383"/>
        <v>台</v>
      </c>
      <c r="L1274" s="2" t="str">
        <f t="shared" si="380"/>
        <v>3630331</v>
      </c>
      <c r="M1274" s="2" t="str">
        <f>""</f>
        <v/>
      </c>
    </row>
    <row r="1275" spans="1:13" x14ac:dyDescent="0.15">
      <c r="A1275" s="2" t="str">
        <f t="shared" si="369"/>
        <v>1881110500</v>
      </c>
      <c r="B1275" s="2" t="str">
        <f t="shared" si="370"/>
        <v>佐伯・区政調整</v>
      </c>
      <c r="C1275" s="2" t="str">
        <f t="shared" si="384"/>
        <v>05ﾀ00601</v>
      </c>
      <c r="D1275" s="2" t="str">
        <f t="shared" si="385"/>
        <v>台</v>
      </c>
      <c r="E1275" s="3" t="str">
        <f t="shared" si="381"/>
        <v>所作台</v>
      </c>
      <c r="F1275" s="2" t="str">
        <f t="shared" si="376"/>
        <v>０００１</v>
      </c>
      <c r="G1275" s="2" t="str">
        <f>"3620004267"</f>
        <v>3620004267</v>
      </c>
      <c r="H1275" s="2" t="str">
        <f t="shared" si="377"/>
        <v>001</v>
      </c>
      <c r="I1275" s="2" t="str">
        <f t="shared" si="378"/>
        <v>4100401</v>
      </c>
      <c r="J1275" s="2">
        <f t="shared" si="382"/>
        <v>208000</v>
      </c>
      <c r="K1275" s="2" t="str">
        <f t="shared" si="383"/>
        <v>台</v>
      </c>
      <c r="L1275" s="2" t="str">
        <f t="shared" si="380"/>
        <v>3630331</v>
      </c>
      <c r="M1275" s="2" t="str">
        <f>""</f>
        <v/>
      </c>
    </row>
    <row r="1276" spans="1:13" x14ac:dyDescent="0.15">
      <c r="A1276" s="2" t="str">
        <f t="shared" si="369"/>
        <v>1881110500</v>
      </c>
      <c r="B1276" s="2" t="str">
        <f t="shared" si="370"/>
        <v>佐伯・区政調整</v>
      </c>
      <c r="C1276" s="2" t="str">
        <f t="shared" si="384"/>
        <v>05ﾀ00601</v>
      </c>
      <c r="D1276" s="2" t="str">
        <f t="shared" si="385"/>
        <v>台</v>
      </c>
      <c r="E1276" s="3" t="str">
        <f t="shared" si="381"/>
        <v>所作台</v>
      </c>
      <c r="F1276" s="2" t="str">
        <f t="shared" si="376"/>
        <v>０００１</v>
      </c>
      <c r="G1276" s="2" t="str">
        <f>"3620004268"</f>
        <v>3620004268</v>
      </c>
      <c r="H1276" s="2" t="str">
        <f t="shared" si="377"/>
        <v>001</v>
      </c>
      <c r="I1276" s="2" t="str">
        <f t="shared" si="378"/>
        <v>4100401</v>
      </c>
      <c r="J1276" s="2">
        <f t="shared" si="382"/>
        <v>208000</v>
      </c>
      <c r="K1276" s="2" t="str">
        <f t="shared" si="383"/>
        <v>台</v>
      </c>
      <c r="L1276" s="2" t="str">
        <f t="shared" si="380"/>
        <v>3630331</v>
      </c>
      <c r="M1276" s="2" t="str">
        <f>""</f>
        <v/>
      </c>
    </row>
    <row r="1277" spans="1:13" x14ac:dyDescent="0.15">
      <c r="A1277" s="2" t="str">
        <f t="shared" si="369"/>
        <v>1881110500</v>
      </c>
      <c r="B1277" s="2" t="str">
        <f t="shared" si="370"/>
        <v>佐伯・区政調整</v>
      </c>
      <c r="C1277" s="2" t="str">
        <f t="shared" si="384"/>
        <v>05ﾀ00601</v>
      </c>
      <c r="D1277" s="2" t="str">
        <f t="shared" si="385"/>
        <v>台</v>
      </c>
      <c r="E1277" s="3" t="str">
        <f t="shared" si="381"/>
        <v>所作台</v>
      </c>
      <c r="F1277" s="2" t="str">
        <f t="shared" si="376"/>
        <v>０００１</v>
      </c>
      <c r="G1277" s="2" t="str">
        <f>"3620004269"</f>
        <v>3620004269</v>
      </c>
      <c r="H1277" s="2" t="str">
        <f t="shared" ref="H1277:H1308" si="386">"001"</f>
        <v>001</v>
      </c>
      <c r="I1277" s="2" t="str">
        <f t="shared" si="378"/>
        <v>4100401</v>
      </c>
      <c r="J1277" s="2">
        <f t="shared" si="382"/>
        <v>208000</v>
      </c>
      <c r="K1277" s="2" t="str">
        <f t="shared" si="383"/>
        <v>台</v>
      </c>
      <c r="L1277" s="2" t="str">
        <f t="shared" si="380"/>
        <v>3630331</v>
      </c>
      <c r="M1277" s="2" t="str">
        <f>""</f>
        <v/>
      </c>
    </row>
    <row r="1278" spans="1:13" x14ac:dyDescent="0.15">
      <c r="A1278" s="2" t="str">
        <f t="shared" si="369"/>
        <v>1881110500</v>
      </c>
      <c r="B1278" s="2" t="str">
        <f t="shared" si="370"/>
        <v>佐伯・区政調整</v>
      </c>
      <c r="C1278" s="2" t="str">
        <f t="shared" si="384"/>
        <v>05ﾀ00601</v>
      </c>
      <c r="D1278" s="2" t="str">
        <f t="shared" si="385"/>
        <v>台</v>
      </c>
      <c r="E1278" s="3" t="str">
        <f t="shared" si="381"/>
        <v>所作台</v>
      </c>
      <c r="F1278" s="2" t="str">
        <f t="shared" si="376"/>
        <v>０００１</v>
      </c>
      <c r="G1278" s="2" t="str">
        <f>"3620004270"</f>
        <v>3620004270</v>
      </c>
      <c r="H1278" s="2" t="str">
        <f t="shared" si="386"/>
        <v>001</v>
      </c>
      <c r="I1278" s="2" t="str">
        <f t="shared" si="378"/>
        <v>4100401</v>
      </c>
      <c r="J1278" s="2">
        <f t="shared" si="382"/>
        <v>208000</v>
      </c>
      <c r="K1278" s="2" t="str">
        <f t="shared" si="383"/>
        <v>台</v>
      </c>
      <c r="L1278" s="2" t="str">
        <f t="shared" si="380"/>
        <v>3630331</v>
      </c>
      <c r="M1278" s="2" t="str">
        <f>""</f>
        <v/>
      </c>
    </row>
    <row r="1279" spans="1:13" x14ac:dyDescent="0.15">
      <c r="A1279" s="2" t="str">
        <f t="shared" si="369"/>
        <v>1881110500</v>
      </c>
      <c r="B1279" s="2" t="str">
        <f t="shared" si="370"/>
        <v>佐伯・区政調整</v>
      </c>
      <c r="C1279" s="2" t="str">
        <f t="shared" si="384"/>
        <v>05ﾀ00601</v>
      </c>
      <c r="D1279" s="2" t="str">
        <f t="shared" si="385"/>
        <v>台</v>
      </c>
      <c r="E1279" s="3" t="str">
        <f t="shared" si="381"/>
        <v>所作台</v>
      </c>
      <c r="F1279" s="2" t="str">
        <f t="shared" si="376"/>
        <v>０００１</v>
      </c>
      <c r="G1279" s="2" t="str">
        <f>"3620004271"</f>
        <v>3620004271</v>
      </c>
      <c r="H1279" s="2" t="str">
        <f t="shared" si="386"/>
        <v>001</v>
      </c>
      <c r="I1279" s="2" t="str">
        <f t="shared" si="378"/>
        <v>4100401</v>
      </c>
      <c r="J1279" s="2">
        <f t="shared" si="382"/>
        <v>208000</v>
      </c>
      <c r="K1279" s="2" t="str">
        <f t="shared" si="383"/>
        <v>台</v>
      </c>
      <c r="L1279" s="2" t="str">
        <f t="shared" si="380"/>
        <v>3630331</v>
      </c>
      <c r="M1279" s="2" t="str">
        <f>""</f>
        <v/>
      </c>
    </row>
    <row r="1280" spans="1:13" x14ac:dyDescent="0.15">
      <c r="A1280" s="2" t="str">
        <f t="shared" si="369"/>
        <v>1881110500</v>
      </c>
      <c r="B1280" s="2" t="str">
        <f t="shared" si="370"/>
        <v>佐伯・区政調整</v>
      </c>
      <c r="C1280" s="2" t="str">
        <f t="shared" si="384"/>
        <v>05ﾀ00601</v>
      </c>
      <c r="D1280" s="2" t="str">
        <f t="shared" si="385"/>
        <v>台</v>
      </c>
      <c r="E1280" s="3" t="str">
        <f t="shared" si="381"/>
        <v>所作台</v>
      </c>
      <c r="F1280" s="2" t="str">
        <f t="shared" si="376"/>
        <v>０００１</v>
      </c>
      <c r="G1280" s="2" t="str">
        <f>"3620004272"</f>
        <v>3620004272</v>
      </c>
      <c r="H1280" s="2" t="str">
        <f t="shared" si="386"/>
        <v>001</v>
      </c>
      <c r="I1280" s="2" t="str">
        <f t="shared" ref="I1280:I1311" si="387">"4100401"</f>
        <v>4100401</v>
      </c>
      <c r="J1280" s="2">
        <f t="shared" si="382"/>
        <v>208000</v>
      </c>
      <c r="K1280" s="2" t="str">
        <f t="shared" si="383"/>
        <v>台</v>
      </c>
      <c r="L1280" s="2" t="str">
        <f t="shared" si="380"/>
        <v>3630331</v>
      </c>
      <c r="M1280" s="2" t="str">
        <f>""</f>
        <v/>
      </c>
    </row>
    <row r="1281" spans="1:13" x14ac:dyDescent="0.15">
      <c r="A1281" s="2" t="str">
        <f t="shared" si="369"/>
        <v>1881110500</v>
      </c>
      <c r="B1281" s="2" t="str">
        <f t="shared" si="370"/>
        <v>佐伯・区政調整</v>
      </c>
      <c r="C1281" s="2" t="str">
        <f t="shared" si="384"/>
        <v>05ﾀ00601</v>
      </c>
      <c r="D1281" s="2" t="str">
        <f t="shared" si="385"/>
        <v>台</v>
      </c>
      <c r="E1281" s="3" t="str">
        <f t="shared" si="381"/>
        <v>所作台</v>
      </c>
      <c r="F1281" s="2" t="str">
        <f t="shared" si="376"/>
        <v>０００１</v>
      </c>
      <c r="G1281" s="2" t="str">
        <f>"3620004273"</f>
        <v>3620004273</v>
      </c>
      <c r="H1281" s="2" t="str">
        <f t="shared" si="386"/>
        <v>001</v>
      </c>
      <c r="I1281" s="2" t="str">
        <f t="shared" si="387"/>
        <v>4100401</v>
      </c>
      <c r="J1281" s="2">
        <f t="shared" si="382"/>
        <v>208000</v>
      </c>
      <c r="K1281" s="2" t="str">
        <f t="shared" si="383"/>
        <v>台</v>
      </c>
      <c r="L1281" s="2" t="str">
        <f t="shared" si="380"/>
        <v>3630331</v>
      </c>
      <c r="M1281" s="2" t="str">
        <f>""</f>
        <v/>
      </c>
    </row>
    <row r="1282" spans="1:13" x14ac:dyDescent="0.15">
      <c r="A1282" s="2" t="str">
        <f t="shared" si="369"/>
        <v>1881110500</v>
      </c>
      <c r="B1282" s="2" t="str">
        <f t="shared" si="370"/>
        <v>佐伯・区政調整</v>
      </c>
      <c r="C1282" s="2" t="str">
        <f t="shared" si="384"/>
        <v>05ﾀ00601</v>
      </c>
      <c r="D1282" s="2" t="str">
        <f t="shared" si="385"/>
        <v>台</v>
      </c>
      <c r="E1282" s="3" t="str">
        <f t="shared" si="381"/>
        <v>所作台</v>
      </c>
      <c r="F1282" s="2" t="str">
        <f t="shared" si="376"/>
        <v>０００１</v>
      </c>
      <c r="G1282" s="2" t="str">
        <f>"3620004274"</f>
        <v>3620004274</v>
      </c>
      <c r="H1282" s="2" t="str">
        <f t="shared" si="386"/>
        <v>001</v>
      </c>
      <c r="I1282" s="2" t="str">
        <f t="shared" si="387"/>
        <v>4100401</v>
      </c>
      <c r="J1282" s="2">
        <f t="shared" si="382"/>
        <v>208000</v>
      </c>
      <c r="K1282" s="2" t="str">
        <f t="shared" si="383"/>
        <v>台</v>
      </c>
      <c r="L1282" s="2" t="str">
        <f t="shared" si="380"/>
        <v>3630331</v>
      </c>
      <c r="M1282" s="2" t="str">
        <f>""</f>
        <v/>
      </c>
    </row>
    <row r="1283" spans="1:13" x14ac:dyDescent="0.15">
      <c r="A1283" s="2" t="str">
        <f t="shared" si="369"/>
        <v>1881110500</v>
      </c>
      <c r="B1283" s="2" t="str">
        <f t="shared" si="370"/>
        <v>佐伯・区政調整</v>
      </c>
      <c r="C1283" s="2" t="str">
        <f t="shared" si="384"/>
        <v>05ﾀ00601</v>
      </c>
      <c r="D1283" s="2" t="str">
        <f t="shared" si="385"/>
        <v>台</v>
      </c>
      <c r="E1283" s="3" t="str">
        <f t="shared" si="381"/>
        <v>所作台</v>
      </c>
      <c r="F1283" s="2" t="str">
        <f t="shared" si="376"/>
        <v>０００１</v>
      </c>
      <c r="G1283" s="2" t="str">
        <f>"3620004275"</f>
        <v>3620004275</v>
      </c>
      <c r="H1283" s="2" t="str">
        <f t="shared" si="386"/>
        <v>001</v>
      </c>
      <c r="I1283" s="2" t="str">
        <f t="shared" si="387"/>
        <v>4100401</v>
      </c>
      <c r="J1283" s="2">
        <f t="shared" si="382"/>
        <v>208000</v>
      </c>
      <c r="K1283" s="2" t="str">
        <f t="shared" si="383"/>
        <v>台</v>
      </c>
      <c r="L1283" s="2" t="str">
        <f t="shared" si="380"/>
        <v>3630331</v>
      </c>
      <c r="M1283" s="2" t="str">
        <f>""</f>
        <v/>
      </c>
    </row>
    <row r="1284" spans="1:13" x14ac:dyDescent="0.15">
      <c r="A1284" s="2" t="str">
        <f t="shared" si="369"/>
        <v>1881110500</v>
      </c>
      <c r="B1284" s="2" t="str">
        <f t="shared" si="370"/>
        <v>佐伯・区政調整</v>
      </c>
      <c r="C1284" s="2" t="str">
        <f t="shared" si="384"/>
        <v>05ﾀ00601</v>
      </c>
      <c r="D1284" s="2" t="str">
        <f t="shared" si="385"/>
        <v>台</v>
      </c>
      <c r="E1284" s="3" t="str">
        <f t="shared" si="381"/>
        <v>所作台</v>
      </c>
      <c r="F1284" s="2" t="str">
        <f t="shared" si="376"/>
        <v>０００１</v>
      </c>
      <c r="G1284" s="2" t="str">
        <f>"3620004276"</f>
        <v>3620004276</v>
      </c>
      <c r="H1284" s="2" t="str">
        <f t="shared" si="386"/>
        <v>001</v>
      </c>
      <c r="I1284" s="2" t="str">
        <f t="shared" si="387"/>
        <v>4100401</v>
      </c>
      <c r="J1284" s="2">
        <f t="shared" si="382"/>
        <v>208000</v>
      </c>
      <c r="K1284" s="2" t="str">
        <f t="shared" si="383"/>
        <v>台</v>
      </c>
      <c r="L1284" s="2" t="str">
        <f t="shared" si="380"/>
        <v>3630331</v>
      </c>
      <c r="M1284" s="2" t="str">
        <f>""</f>
        <v/>
      </c>
    </row>
    <row r="1285" spans="1:13" x14ac:dyDescent="0.15">
      <c r="A1285" s="2" t="str">
        <f t="shared" si="369"/>
        <v>1881110500</v>
      </c>
      <c r="B1285" s="2" t="str">
        <f t="shared" si="370"/>
        <v>佐伯・区政調整</v>
      </c>
      <c r="C1285" s="2" t="str">
        <f t="shared" si="384"/>
        <v>05ﾀ00601</v>
      </c>
      <c r="D1285" s="2" t="str">
        <f t="shared" si="385"/>
        <v>台</v>
      </c>
      <c r="E1285" s="3" t="str">
        <f t="shared" si="381"/>
        <v>所作台</v>
      </c>
      <c r="F1285" s="2" t="str">
        <f t="shared" ref="F1285:F1316" si="388">"０００１"</f>
        <v>０００１</v>
      </c>
      <c r="G1285" s="2" t="str">
        <f>"3620004277"</f>
        <v>3620004277</v>
      </c>
      <c r="H1285" s="2" t="str">
        <f t="shared" si="386"/>
        <v>001</v>
      </c>
      <c r="I1285" s="2" t="str">
        <f t="shared" si="387"/>
        <v>4100401</v>
      </c>
      <c r="J1285" s="2">
        <f t="shared" si="382"/>
        <v>208000</v>
      </c>
      <c r="K1285" s="2" t="str">
        <f t="shared" si="383"/>
        <v>台</v>
      </c>
      <c r="L1285" s="2" t="str">
        <f t="shared" si="380"/>
        <v>3630331</v>
      </c>
      <c r="M1285" s="2" t="str">
        <f>""</f>
        <v/>
      </c>
    </row>
    <row r="1286" spans="1:13" x14ac:dyDescent="0.15">
      <c r="A1286" s="2" t="str">
        <f t="shared" si="369"/>
        <v>1881110500</v>
      </c>
      <c r="B1286" s="2" t="str">
        <f t="shared" si="370"/>
        <v>佐伯・区政調整</v>
      </c>
      <c r="C1286" s="2" t="str">
        <f t="shared" si="384"/>
        <v>05ﾀ00601</v>
      </c>
      <c r="D1286" s="2" t="str">
        <f t="shared" si="385"/>
        <v>台</v>
      </c>
      <c r="E1286" s="3" t="str">
        <f t="shared" si="381"/>
        <v>所作台</v>
      </c>
      <c r="F1286" s="2" t="str">
        <f t="shared" si="388"/>
        <v>０００１</v>
      </c>
      <c r="G1286" s="2" t="str">
        <f>"3620004278"</f>
        <v>3620004278</v>
      </c>
      <c r="H1286" s="2" t="str">
        <f t="shared" si="386"/>
        <v>001</v>
      </c>
      <c r="I1286" s="2" t="str">
        <f t="shared" si="387"/>
        <v>4100401</v>
      </c>
      <c r="J1286" s="2">
        <f t="shared" si="382"/>
        <v>208000</v>
      </c>
      <c r="K1286" s="2" t="str">
        <f t="shared" si="383"/>
        <v>台</v>
      </c>
      <c r="L1286" s="2" t="str">
        <f t="shared" si="380"/>
        <v>3630331</v>
      </c>
      <c r="M1286" s="2" t="str">
        <f>""</f>
        <v/>
      </c>
    </row>
    <row r="1287" spans="1:13" x14ac:dyDescent="0.15">
      <c r="A1287" s="2" t="str">
        <f t="shared" si="369"/>
        <v>1881110500</v>
      </c>
      <c r="B1287" s="2" t="str">
        <f t="shared" si="370"/>
        <v>佐伯・区政調整</v>
      </c>
      <c r="C1287" s="2" t="str">
        <f t="shared" si="384"/>
        <v>05ﾀ00601</v>
      </c>
      <c r="D1287" s="2" t="str">
        <f t="shared" si="385"/>
        <v>台</v>
      </c>
      <c r="E1287" s="3" t="str">
        <f t="shared" si="381"/>
        <v>所作台</v>
      </c>
      <c r="F1287" s="2" t="str">
        <f t="shared" si="388"/>
        <v>０００１</v>
      </c>
      <c r="G1287" s="2" t="str">
        <f>"3620004279"</f>
        <v>3620004279</v>
      </c>
      <c r="H1287" s="2" t="str">
        <f t="shared" si="386"/>
        <v>001</v>
      </c>
      <c r="I1287" s="2" t="str">
        <f t="shared" si="387"/>
        <v>4100401</v>
      </c>
      <c r="J1287" s="2">
        <f t="shared" si="382"/>
        <v>208000</v>
      </c>
      <c r="K1287" s="2" t="str">
        <f t="shared" si="383"/>
        <v>台</v>
      </c>
      <c r="L1287" s="2" t="str">
        <f t="shared" si="380"/>
        <v>3630331</v>
      </c>
      <c r="M1287" s="2" t="str">
        <f>""</f>
        <v/>
      </c>
    </row>
    <row r="1288" spans="1:13" x14ac:dyDescent="0.15">
      <c r="A1288" s="2" t="str">
        <f t="shared" si="369"/>
        <v>1881110500</v>
      </c>
      <c r="B1288" s="2" t="str">
        <f t="shared" si="370"/>
        <v>佐伯・区政調整</v>
      </c>
      <c r="C1288" s="2" t="str">
        <f t="shared" si="384"/>
        <v>05ﾀ00601</v>
      </c>
      <c r="D1288" s="2" t="str">
        <f t="shared" si="385"/>
        <v>台</v>
      </c>
      <c r="E1288" s="3" t="str">
        <f t="shared" si="381"/>
        <v>所作台</v>
      </c>
      <c r="F1288" s="2" t="str">
        <f t="shared" si="388"/>
        <v>０００１</v>
      </c>
      <c r="G1288" s="2" t="str">
        <f>"3620004280"</f>
        <v>3620004280</v>
      </c>
      <c r="H1288" s="2" t="str">
        <f t="shared" si="386"/>
        <v>001</v>
      </c>
      <c r="I1288" s="2" t="str">
        <f t="shared" si="387"/>
        <v>4100401</v>
      </c>
      <c r="J1288" s="2">
        <f t="shared" si="382"/>
        <v>208000</v>
      </c>
      <c r="K1288" s="2" t="str">
        <f t="shared" si="383"/>
        <v>台</v>
      </c>
      <c r="L1288" s="2" t="str">
        <f t="shared" si="380"/>
        <v>3630331</v>
      </c>
      <c r="M1288" s="2" t="str">
        <f>""</f>
        <v/>
      </c>
    </row>
    <row r="1289" spans="1:13" x14ac:dyDescent="0.15">
      <c r="A1289" s="2" t="str">
        <f t="shared" si="369"/>
        <v>1881110500</v>
      </c>
      <c r="B1289" s="2" t="str">
        <f t="shared" si="370"/>
        <v>佐伯・区政調整</v>
      </c>
      <c r="C1289" s="2" t="str">
        <f t="shared" si="384"/>
        <v>05ﾀ00601</v>
      </c>
      <c r="D1289" s="2" t="str">
        <f t="shared" si="385"/>
        <v>台</v>
      </c>
      <c r="E1289" s="3" t="str">
        <f t="shared" si="381"/>
        <v>所作台</v>
      </c>
      <c r="F1289" s="2" t="str">
        <f t="shared" si="388"/>
        <v>０００１</v>
      </c>
      <c r="G1289" s="2" t="str">
        <f>"3620004281"</f>
        <v>3620004281</v>
      </c>
      <c r="H1289" s="2" t="str">
        <f t="shared" si="386"/>
        <v>001</v>
      </c>
      <c r="I1289" s="2" t="str">
        <f t="shared" si="387"/>
        <v>4100401</v>
      </c>
      <c r="J1289" s="2">
        <f t="shared" si="382"/>
        <v>208000</v>
      </c>
      <c r="K1289" s="2" t="str">
        <f t="shared" si="383"/>
        <v>台</v>
      </c>
      <c r="L1289" s="2" t="str">
        <f t="shared" si="380"/>
        <v>3630331</v>
      </c>
      <c r="M1289" s="2" t="str">
        <f>""</f>
        <v/>
      </c>
    </row>
    <row r="1290" spans="1:13" x14ac:dyDescent="0.15">
      <c r="A1290" s="2" t="str">
        <f t="shared" si="369"/>
        <v>1881110500</v>
      </c>
      <c r="B1290" s="2" t="str">
        <f t="shared" si="370"/>
        <v>佐伯・区政調整</v>
      </c>
      <c r="C1290" s="2" t="str">
        <f t="shared" si="384"/>
        <v>05ﾀ00601</v>
      </c>
      <c r="D1290" s="2" t="str">
        <f t="shared" si="385"/>
        <v>台</v>
      </c>
      <c r="E1290" s="3" t="str">
        <f t="shared" si="381"/>
        <v>所作台</v>
      </c>
      <c r="F1290" s="2" t="str">
        <f t="shared" si="388"/>
        <v>０００１</v>
      </c>
      <c r="G1290" s="2" t="str">
        <f>"3620004282"</f>
        <v>3620004282</v>
      </c>
      <c r="H1290" s="2" t="str">
        <f t="shared" si="386"/>
        <v>001</v>
      </c>
      <c r="I1290" s="2" t="str">
        <f t="shared" si="387"/>
        <v>4100401</v>
      </c>
      <c r="J1290" s="2">
        <f t="shared" si="382"/>
        <v>208000</v>
      </c>
      <c r="K1290" s="2" t="str">
        <f t="shared" si="383"/>
        <v>台</v>
      </c>
      <c r="L1290" s="2" t="str">
        <f t="shared" si="380"/>
        <v>3630331</v>
      </c>
      <c r="M1290" s="2" t="str">
        <f>""</f>
        <v/>
      </c>
    </row>
    <row r="1291" spans="1:13" x14ac:dyDescent="0.15">
      <c r="A1291" s="2" t="str">
        <f t="shared" ref="A1291:A1354" si="389">"1881110500"</f>
        <v>1881110500</v>
      </c>
      <c r="B1291" s="2" t="str">
        <f t="shared" ref="B1291:B1354" si="390">"佐伯・区政調整"</f>
        <v>佐伯・区政調整</v>
      </c>
      <c r="C1291" s="2" t="str">
        <f t="shared" si="384"/>
        <v>05ﾀ00601</v>
      </c>
      <c r="D1291" s="2" t="str">
        <f t="shared" si="385"/>
        <v>台</v>
      </c>
      <c r="E1291" s="3" t="str">
        <f t="shared" si="381"/>
        <v>所作台</v>
      </c>
      <c r="F1291" s="2" t="str">
        <f t="shared" si="388"/>
        <v>０００１</v>
      </c>
      <c r="G1291" s="2" t="str">
        <f>"3620004283"</f>
        <v>3620004283</v>
      </c>
      <c r="H1291" s="2" t="str">
        <f t="shared" si="386"/>
        <v>001</v>
      </c>
      <c r="I1291" s="2" t="str">
        <f t="shared" si="387"/>
        <v>4100401</v>
      </c>
      <c r="J1291" s="2">
        <f>156000</f>
        <v>156000</v>
      </c>
      <c r="K1291" s="2" t="str">
        <f t="shared" si="383"/>
        <v>台</v>
      </c>
      <c r="L1291" s="2" t="str">
        <f t="shared" si="380"/>
        <v>3630331</v>
      </c>
      <c r="M1291" s="2" t="str">
        <f>""</f>
        <v/>
      </c>
    </row>
    <row r="1292" spans="1:13" x14ac:dyDescent="0.15">
      <c r="A1292" s="2" t="str">
        <f t="shared" si="389"/>
        <v>1881110500</v>
      </c>
      <c r="B1292" s="2" t="str">
        <f t="shared" si="390"/>
        <v>佐伯・区政調整</v>
      </c>
      <c r="C1292" s="2" t="str">
        <f t="shared" si="384"/>
        <v>05ﾀ00601</v>
      </c>
      <c r="D1292" s="2" t="str">
        <f t="shared" si="385"/>
        <v>台</v>
      </c>
      <c r="E1292" s="3" t="str">
        <f t="shared" si="381"/>
        <v>所作台</v>
      </c>
      <c r="F1292" s="2" t="str">
        <f t="shared" si="388"/>
        <v>０００１</v>
      </c>
      <c r="G1292" s="2" t="str">
        <f>"3620004284"</f>
        <v>3620004284</v>
      </c>
      <c r="H1292" s="2" t="str">
        <f t="shared" si="386"/>
        <v>001</v>
      </c>
      <c r="I1292" s="2" t="str">
        <f t="shared" si="387"/>
        <v>4100401</v>
      </c>
      <c r="J1292" s="2">
        <f>156000</f>
        <v>156000</v>
      </c>
      <c r="K1292" s="2" t="str">
        <f t="shared" si="383"/>
        <v>台</v>
      </c>
      <c r="L1292" s="2" t="str">
        <f t="shared" ref="L1292:L1323" si="391">"3630331"</f>
        <v>3630331</v>
      </c>
      <c r="M1292" s="2" t="str">
        <f>""</f>
        <v/>
      </c>
    </row>
    <row r="1293" spans="1:13" x14ac:dyDescent="0.15">
      <c r="A1293" s="2" t="str">
        <f t="shared" si="389"/>
        <v>1881110500</v>
      </c>
      <c r="B1293" s="2" t="str">
        <f t="shared" si="390"/>
        <v>佐伯・区政調整</v>
      </c>
      <c r="C1293" s="2" t="str">
        <f t="shared" si="384"/>
        <v>05ﾀ00601</v>
      </c>
      <c r="D1293" s="2" t="str">
        <f t="shared" si="385"/>
        <v>台</v>
      </c>
      <c r="E1293" s="3" t="str">
        <f t="shared" si="381"/>
        <v>所作台</v>
      </c>
      <c r="F1293" s="2" t="str">
        <f t="shared" si="388"/>
        <v>０００１</v>
      </c>
      <c r="G1293" s="2" t="str">
        <f>"3620004285"</f>
        <v>3620004285</v>
      </c>
      <c r="H1293" s="2" t="str">
        <f t="shared" si="386"/>
        <v>001</v>
      </c>
      <c r="I1293" s="2" t="str">
        <f t="shared" si="387"/>
        <v>4100401</v>
      </c>
      <c r="J1293" s="2">
        <f>156000</f>
        <v>156000</v>
      </c>
      <c r="K1293" s="2" t="str">
        <f t="shared" si="383"/>
        <v>台</v>
      </c>
      <c r="L1293" s="2" t="str">
        <f t="shared" si="391"/>
        <v>3630331</v>
      </c>
      <c r="M1293" s="2" t="str">
        <f>""</f>
        <v/>
      </c>
    </row>
    <row r="1294" spans="1:13" x14ac:dyDescent="0.15">
      <c r="A1294" s="2" t="str">
        <f t="shared" si="389"/>
        <v>1881110500</v>
      </c>
      <c r="B1294" s="2" t="str">
        <f t="shared" si="390"/>
        <v>佐伯・区政調整</v>
      </c>
      <c r="C1294" s="2" t="str">
        <f t="shared" si="384"/>
        <v>05ﾀ00601</v>
      </c>
      <c r="D1294" s="2" t="str">
        <f t="shared" si="385"/>
        <v>台</v>
      </c>
      <c r="E1294" s="3" t="str">
        <f t="shared" si="381"/>
        <v>所作台</v>
      </c>
      <c r="F1294" s="2" t="str">
        <f t="shared" si="388"/>
        <v>０００１</v>
      </c>
      <c r="G1294" s="2" t="str">
        <f>"3620004286"</f>
        <v>3620004286</v>
      </c>
      <c r="H1294" s="2" t="str">
        <f t="shared" si="386"/>
        <v>001</v>
      </c>
      <c r="I1294" s="2" t="str">
        <f t="shared" si="387"/>
        <v>4100401</v>
      </c>
      <c r="J1294" s="2">
        <f>156000</f>
        <v>156000</v>
      </c>
      <c r="K1294" s="2" t="str">
        <f t="shared" si="383"/>
        <v>台</v>
      </c>
      <c r="L1294" s="2" t="str">
        <f t="shared" si="391"/>
        <v>3630331</v>
      </c>
      <c r="M1294" s="2" t="str">
        <f>""</f>
        <v/>
      </c>
    </row>
    <row r="1295" spans="1:13" x14ac:dyDescent="0.15">
      <c r="A1295" s="2" t="str">
        <f t="shared" si="389"/>
        <v>1881110500</v>
      </c>
      <c r="B1295" s="2" t="str">
        <f t="shared" si="390"/>
        <v>佐伯・区政調整</v>
      </c>
      <c r="C1295" s="2" t="str">
        <f t="shared" si="384"/>
        <v>05ﾀ00601</v>
      </c>
      <c r="D1295" s="2" t="str">
        <f t="shared" si="385"/>
        <v>台</v>
      </c>
      <c r="E1295" s="3" t="str">
        <f t="shared" ref="E1295:E1326" si="392">"平台"</f>
        <v>平台</v>
      </c>
      <c r="F1295" s="2" t="str">
        <f t="shared" si="388"/>
        <v>０００１</v>
      </c>
      <c r="G1295" s="2" t="str">
        <f>"3620004287"</f>
        <v>3620004287</v>
      </c>
      <c r="H1295" s="2" t="str">
        <f t="shared" si="386"/>
        <v>001</v>
      </c>
      <c r="I1295" s="2" t="str">
        <f t="shared" si="387"/>
        <v>4100401</v>
      </c>
      <c r="J1295" s="2">
        <f>40000</f>
        <v>40000</v>
      </c>
      <c r="K1295" s="2" t="str">
        <f t="shared" si="383"/>
        <v>台</v>
      </c>
      <c r="L1295" s="2" t="str">
        <f t="shared" si="391"/>
        <v>3630331</v>
      </c>
      <c r="M1295" s="2" t="str">
        <f>""</f>
        <v/>
      </c>
    </row>
    <row r="1296" spans="1:13" x14ac:dyDescent="0.15">
      <c r="A1296" s="2" t="str">
        <f t="shared" si="389"/>
        <v>1881110500</v>
      </c>
      <c r="B1296" s="2" t="str">
        <f t="shared" si="390"/>
        <v>佐伯・区政調整</v>
      </c>
      <c r="C1296" s="2" t="str">
        <f t="shared" si="384"/>
        <v>05ﾀ00601</v>
      </c>
      <c r="D1296" s="2" t="str">
        <f t="shared" si="385"/>
        <v>台</v>
      </c>
      <c r="E1296" s="3" t="str">
        <f t="shared" si="392"/>
        <v>平台</v>
      </c>
      <c r="F1296" s="2" t="str">
        <f t="shared" si="388"/>
        <v>０００１</v>
      </c>
      <c r="G1296" s="2" t="str">
        <f>"3620004288"</f>
        <v>3620004288</v>
      </c>
      <c r="H1296" s="2" t="str">
        <f t="shared" si="386"/>
        <v>001</v>
      </c>
      <c r="I1296" s="2" t="str">
        <f t="shared" si="387"/>
        <v>4100401</v>
      </c>
      <c r="J1296" s="2">
        <f>40000</f>
        <v>40000</v>
      </c>
      <c r="K1296" s="2" t="str">
        <f t="shared" si="383"/>
        <v>台</v>
      </c>
      <c r="L1296" s="2" t="str">
        <f t="shared" si="391"/>
        <v>3630331</v>
      </c>
      <c r="M1296" s="2" t="str">
        <f>""</f>
        <v/>
      </c>
    </row>
    <row r="1297" spans="1:13" x14ac:dyDescent="0.15">
      <c r="A1297" s="2" t="str">
        <f t="shared" si="389"/>
        <v>1881110500</v>
      </c>
      <c r="B1297" s="2" t="str">
        <f t="shared" si="390"/>
        <v>佐伯・区政調整</v>
      </c>
      <c r="C1297" s="2" t="str">
        <f t="shared" si="384"/>
        <v>05ﾀ00601</v>
      </c>
      <c r="D1297" s="2" t="str">
        <f t="shared" si="385"/>
        <v>台</v>
      </c>
      <c r="E1297" s="3" t="str">
        <f t="shared" si="392"/>
        <v>平台</v>
      </c>
      <c r="F1297" s="2" t="str">
        <f t="shared" si="388"/>
        <v>０００１</v>
      </c>
      <c r="G1297" s="2" t="str">
        <f>"3620004289"</f>
        <v>3620004289</v>
      </c>
      <c r="H1297" s="2" t="str">
        <f t="shared" si="386"/>
        <v>001</v>
      </c>
      <c r="I1297" s="2" t="str">
        <f t="shared" si="387"/>
        <v>4100401</v>
      </c>
      <c r="J1297" s="2">
        <f>40000</f>
        <v>40000</v>
      </c>
      <c r="K1297" s="2" t="str">
        <f t="shared" si="383"/>
        <v>台</v>
      </c>
      <c r="L1297" s="2" t="str">
        <f t="shared" si="391"/>
        <v>3630331</v>
      </c>
      <c r="M1297" s="2" t="str">
        <f>""</f>
        <v/>
      </c>
    </row>
    <row r="1298" spans="1:13" x14ac:dyDescent="0.15">
      <c r="A1298" s="2" t="str">
        <f t="shared" si="389"/>
        <v>1881110500</v>
      </c>
      <c r="B1298" s="2" t="str">
        <f t="shared" si="390"/>
        <v>佐伯・区政調整</v>
      </c>
      <c r="C1298" s="2" t="str">
        <f t="shared" si="384"/>
        <v>05ﾀ00601</v>
      </c>
      <c r="D1298" s="2" t="str">
        <f t="shared" si="385"/>
        <v>台</v>
      </c>
      <c r="E1298" s="3" t="str">
        <f t="shared" si="392"/>
        <v>平台</v>
      </c>
      <c r="F1298" s="2" t="str">
        <f t="shared" si="388"/>
        <v>０００１</v>
      </c>
      <c r="G1298" s="2" t="str">
        <f>"3620004290"</f>
        <v>3620004290</v>
      </c>
      <c r="H1298" s="2" t="str">
        <f t="shared" si="386"/>
        <v>001</v>
      </c>
      <c r="I1298" s="2" t="str">
        <f t="shared" si="387"/>
        <v>4100401</v>
      </c>
      <c r="J1298" s="2">
        <f>40000</f>
        <v>40000</v>
      </c>
      <c r="K1298" s="2" t="str">
        <f t="shared" si="383"/>
        <v>台</v>
      </c>
      <c r="L1298" s="2" t="str">
        <f t="shared" si="391"/>
        <v>3630331</v>
      </c>
      <c r="M1298" s="2" t="str">
        <f>""</f>
        <v/>
      </c>
    </row>
    <row r="1299" spans="1:13" x14ac:dyDescent="0.15">
      <c r="A1299" s="2" t="str">
        <f t="shared" si="389"/>
        <v>1881110500</v>
      </c>
      <c r="B1299" s="2" t="str">
        <f t="shared" si="390"/>
        <v>佐伯・区政調整</v>
      </c>
      <c r="C1299" s="2" t="str">
        <f t="shared" si="384"/>
        <v>05ﾀ00601</v>
      </c>
      <c r="D1299" s="2" t="str">
        <f t="shared" si="385"/>
        <v>台</v>
      </c>
      <c r="E1299" s="3" t="str">
        <f t="shared" si="392"/>
        <v>平台</v>
      </c>
      <c r="F1299" s="2" t="str">
        <f t="shared" si="388"/>
        <v>０００１</v>
      </c>
      <c r="G1299" s="2" t="str">
        <f>"3620004291"</f>
        <v>3620004291</v>
      </c>
      <c r="H1299" s="2" t="str">
        <f t="shared" si="386"/>
        <v>001</v>
      </c>
      <c r="I1299" s="2" t="str">
        <f t="shared" si="387"/>
        <v>4100401</v>
      </c>
      <c r="J1299" s="2">
        <f>40000</f>
        <v>40000</v>
      </c>
      <c r="K1299" s="2" t="str">
        <f t="shared" si="383"/>
        <v>台</v>
      </c>
      <c r="L1299" s="2" t="str">
        <f t="shared" si="391"/>
        <v>3630331</v>
      </c>
      <c r="M1299" s="2" t="str">
        <f>""</f>
        <v/>
      </c>
    </row>
    <row r="1300" spans="1:13" x14ac:dyDescent="0.15">
      <c r="A1300" s="2" t="str">
        <f t="shared" si="389"/>
        <v>1881110500</v>
      </c>
      <c r="B1300" s="2" t="str">
        <f t="shared" si="390"/>
        <v>佐伯・区政調整</v>
      </c>
      <c r="C1300" s="2" t="str">
        <f t="shared" si="384"/>
        <v>05ﾀ00601</v>
      </c>
      <c r="D1300" s="2" t="str">
        <f t="shared" si="385"/>
        <v>台</v>
      </c>
      <c r="E1300" s="3" t="str">
        <f t="shared" si="392"/>
        <v>平台</v>
      </c>
      <c r="F1300" s="2" t="str">
        <f t="shared" si="388"/>
        <v>０００１</v>
      </c>
      <c r="G1300" s="2" t="str">
        <f>"3620004292"</f>
        <v>3620004292</v>
      </c>
      <c r="H1300" s="2" t="str">
        <f t="shared" si="386"/>
        <v>001</v>
      </c>
      <c r="I1300" s="2" t="str">
        <f t="shared" si="387"/>
        <v>4100401</v>
      </c>
      <c r="J1300" s="2">
        <f>40000</f>
        <v>40000</v>
      </c>
      <c r="K1300" s="2" t="str">
        <f t="shared" si="383"/>
        <v>台</v>
      </c>
      <c r="L1300" s="2" t="str">
        <f t="shared" si="391"/>
        <v>3630331</v>
      </c>
      <c r="M1300" s="2" t="str">
        <f>""</f>
        <v/>
      </c>
    </row>
    <row r="1301" spans="1:13" x14ac:dyDescent="0.15">
      <c r="A1301" s="2" t="str">
        <f t="shared" si="389"/>
        <v>1881110500</v>
      </c>
      <c r="B1301" s="2" t="str">
        <f t="shared" si="390"/>
        <v>佐伯・区政調整</v>
      </c>
      <c r="C1301" s="2" t="str">
        <f t="shared" si="384"/>
        <v>05ﾀ00601</v>
      </c>
      <c r="D1301" s="2" t="str">
        <f t="shared" si="385"/>
        <v>台</v>
      </c>
      <c r="E1301" s="3" t="str">
        <f t="shared" si="392"/>
        <v>平台</v>
      </c>
      <c r="F1301" s="2" t="str">
        <f t="shared" si="388"/>
        <v>０００１</v>
      </c>
      <c r="G1301" s="2" t="str">
        <f>"3620004293"</f>
        <v>3620004293</v>
      </c>
      <c r="H1301" s="2" t="str">
        <f t="shared" si="386"/>
        <v>001</v>
      </c>
      <c r="I1301" s="2" t="str">
        <f t="shared" si="387"/>
        <v>4100401</v>
      </c>
      <c r="J1301" s="2">
        <f>28000</f>
        <v>28000</v>
      </c>
      <c r="K1301" s="2" t="str">
        <f t="shared" si="383"/>
        <v>台</v>
      </c>
      <c r="L1301" s="2" t="str">
        <f t="shared" si="391"/>
        <v>3630331</v>
      </c>
      <c r="M1301" s="2" t="str">
        <f>""</f>
        <v/>
      </c>
    </row>
    <row r="1302" spans="1:13" x14ac:dyDescent="0.15">
      <c r="A1302" s="2" t="str">
        <f t="shared" si="389"/>
        <v>1881110500</v>
      </c>
      <c r="B1302" s="2" t="str">
        <f t="shared" si="390"/>
        <v>佐伯・区政調整</v>
      </c>
      <c r="C1302" s="2" t="str">
        <f t="shared" si="384"/>
        <v>05ﾀ00601</v>
      </c>
      <c r="D1302" s="2" t="str">
        <f t="shared" si="385"/>
        <v>台</v>
      </c>
      <c r="E1302" s="3" t="str">
        <f t="shared" si="392"/>
        <v>平台</v>
      </c>
      <c r="F1302" s="2" t="str">
        <f t="shared" si="388"/>
        <v>０００１</v>
      </c>
      <c r="G1302" s="2" t="str">
        <f>"3620004294"</f>
        <v>3620004294</v>
      </c>
      <c r="H1302" s="2" t="str">
        <f t="shared" si="386"/>
        <v>001</v>
      </c>
      <c r="I1302" s="2" t="str">
        <f t="shared" si="387"/>
        <v>4100401</v>
      </c>
      <c r="J1302" s="2">
        <f>28000</f>
        <v>28000</v>
      </c>
      <c r="K1302" s="2" t="str">
        <f t="shared" ref="K1302:K1333" si="393">"台"</f>
        <v>台</v>
      </c>
      <c r="L1302" s="2" t="str">
        <f t="shared" si="391"/>
        <v>3630331</v>
      </c>
      <c r="M1302" s="2" t="str">
        <f>""</f>
        <v/>
      </c>
    </row>
    <row r="1303" spans="1:13" x14ac:dyDescent="0.15">
      <c r="A1303" s="2" t="str">
        <f t="shared" si="389"/>
        <v>1881110500</v>
      </c>
      <c r="B1303" s="2" t="str">
        <f t="shared" si="390"/>
        <v>佐伯・区政調整</v>
      </c>
      <c r="C1303" s="2" t="str">
        <f t="shared" si="384"/>
        <v>05ﾀ00601</v>
      </c>
      <c r="D1303" s="2" t="str">
        <f t="shared" si="385"/>
        <v>台</v>
      </c>
      <c r="E1303" s="3" t="str">
        <f t="shared" si="392"/>
        <v>平台</v>
      </c>
      <c r="F1303" s="2" t="str">
        <f t="shared" si="388"/>
        <v>０００１</v>
      </c>
      <c r="G1303" s="2" t="str">
        <f>"3620004295"</f>
        <v>3620004295</v>
      </c>
      <c r="H1303" s="2" t="str">
        <f t="shared" si="386"/>
        <v>001</v>
      </c>
      <c r="I1303" s="2" t="str">
        <f t="shared" si="387"/>
        <v>4100401</v>
      </c>
      <c r="J1303" s="2">
        <f>28000</f>
        <v>28000</v>
      </c>
      <c r="K1303" s="2" t="str">
        <f t="shared" si="393"/>
        <v>台</v>
      </c>
      <c r="L1303" s="2" t="str">
        <f t="shared" si="391"/>
        <v>3630331</v>
      </c>
      <c r="M1303" s="2" t="str">
        <f>""</f>
        <v/>
      </c>
    </row>
    <row r="1304" spans="1:13" x14ac:dyDescent="0.15">
      <c r="A1304" s="2" t="str">
        <f t="shared" si="389"/>
        <v>1881110500</v>
      </c>
      <c r="B1304" s="2" t="str">
        <f t="shared" si="390"/>
        <v>佐伯・区政調整</v>
      </c>
      <c r="C1304" s="2" t="str">
        <f t="shared" si="384"/>
        <v>05ﾀ00601</v>
      </c>
      <c r="D1304" s="2" t="str">
        <f t="shared" si="385"/>
        <v>台</v>
      </c>
      <c r="E1304" s="3" t="str">
        <f t="shared" si="392"/>
        <v>平台</v>
      </c>
      <c r="F1304" s="2" t="str">
        <f t="shared" si="388"/>
        <v>０００１</v>
      </c>
      <c r="G1304" s="2" t="str">
        <f>"3620004296"</f>
        <v>3620004296</v>
      </c>
      <c r="H1304" s="2" t="str">
        <f t="shared" si="386"/>
        <v>001</v>
      </c>
      <c r="I1304" s="2" t="str">
        <f t="shared" si="387"/>
        <v>4100401</v>
      </c>
      <c r="J1304" s="2">
        <f>28000</f>
        <v>28000</v>
      </c>
      <c r="K1304" s="2" t="str">
        <f t="shared" si="393"/>
        <v>台</v>
      </c>
      <c r="L1304" s="2" t="str">
        <f t="shared" si="391"/>
        <v>3630331</v>
      </c>
      <c r="M1304" s="2" t="str">
        <f>""</f>
        <v/>
      </c>
    </row>
    <row r="1305" spans="1:13" x14ac:dyDescent="0.15">
      <c r="A1305" s="2" t="str">
        <f t="shared" si="389"/>
        <v>1881110500</v>
      </c>
      <c r="B1305" s="2" t="str">
        <f t="shared" si="390"/>
        <v>佐伯・区政調整</v>
      </c>
      <c r="C1305" s="2" t="str">
        <f t="shared" si="384"/>
        <v>05ﾀ00601</v>
      </c>
      <c r="D1305" s="2" t="str">
        <f t="shared" si="385"/>
        <v>台</v>
      </c>
      <c r="E1305" s="3" t="str">
        <f t="shared" si="392"/>
        <v>平台</v>
      </c>
      <c r="F1305" s="2" t="str">
        <f t="shared" si="388"/>
        <v>０００１</v>
      </c>
      <c r="G1305" s="2" t="str">
        <f>"3620004297"</f>
        <v>3620004297</v>
      </c>
      <c r="H1305" s="2" t="str">
        <f t="shared" si="386"/>
        <v>001</v>
      </c>
      <c r="I1305" s="2" t="str">
        <f t="shared" si="387"/>
        <v>4100401</v>
      </c>
      <c r="J1305" s="2">
        <f>28000</f>
        <v>28000</v>
      </c>
      <c r="K1305" s="2" t="str">
        <f t="shared" si="393"/>
        <v>台</v>
      </c>
      <c r="L1305" s="2" t="str">
        <f t="shared" si="391"/>
        <v>3630331</v>
      </c>
      <c r="M1305" s="2" t="str">
        <f>""</f>
        <v/>
      </c>
    </row>
    <row r="1306" spans="1:13" x14ac:dyDescent="0.15">
      <c r="A1306" s="2" t="str">
        <f t="shared" si="389"/>
        <v>1881110500</v>
      </c>
      <c r="B1306" s="2" t="str">
        <f t="shared" si="390"/>
        <v>佐伯・区政調整</v>
      </c>
      <c r="C1306" s="2" t="str">
        <f t="shared" ref="C1306:C1337" si="394">"05ﾀ00601"</f>
        <v>05ﾀ00601</v>
      </c>
      <c r="D1306" s="2" t="str">
        <f t="shared" ref="D1306:D1337" si="395">"台"</f>
        <v>台</v>
      </c>
      <c r="E1306" s="3" t="str">
        <f t="shared" si="392"/>
        <v>平台</v>
      </c>
      <c r="F1306" s="2" t="str">
        <f t="shared" si="388"/>
        <v>０００１</v>
      </c>
      <c r="G1306" s="2" t="str">
        <f>"3620004298"</f>
        <v>3620004298</v>
      </c>
      <c r="H1306" s="2" t="str">
        <f t="shared" si="386"/>
        <v>001</v>
      </c>
      <c r="I1306" s="2" t="str">
        <f t="shared" si="387"/>
        <v>4100401</v>
      </c>
      <c r="J1306" s="2">
        <f>28000</f>
        <v>28000</v>
      </c>
      <c r="K1306" s="2" t="str">
        <f t="shared" si="393"/>
        <v>台</v>
      </c>
      <c r="L1306" s="2" t="str">
        <f t="shared" si="391"/>
        <v>3630331</v>
      </c>
      <c r="M1306" s="2" t="str">
        <f>""</f>
        <v/>
      </c>
    </row>
    <row r="1307" spans="1:13" x14ac:dyDescent="0.15">
      <c r="A1307" s="2" t="str">
        <f t="shared" si="389"/>
        <v>1881110500</v>
      </c>
      <c r="B1307" s="2" t="str">
        <f t="shared" si="390"/>
        <v>佐伯・区政調整</v>
      </c>
      <c r="C1307" s="2" t="str">
        <f t="shared" si="394"/>
        <v>05ﾀ00601</v>
      </c>
      <c r="D1307" s="2" t="str">
        <f t="shared" si="395"/>
        <v>台</v>
      </c>
      <c r="E1307" s="3" t="str">
        <f t="shared" si="392"/>
        <v>平台</v>
      </c>
      <c r="F1307" s="2" t="str">
        <f t="shared" si="388"/>
        <v>０００１</v>
      </c>
      <c r="G1307" s="2" t="str">
        <f>"3620004299"</f>
        <v>3620004299</v>
      </c>
      <c r="H1307" s="2" t="str">
        <f t="shared" si="386"/>
        <v>001</v>
      </c>
      <c r="I1307" s="2" t="str">
        <f t="shared" si="387"/>
        <v>4100401</v>
      </c>
      <c r="J1307" s="2">
        <f>28000</f>
        <v>28000</v>
      </c>
      <c r="K1307" s="2" t="str">
        <f t="shared" si="393"/>
        <v>台</v>
      </c>
      <c r="L1307" s="2" t="str">
        <f t="shared" si="391"/>
        <v>3630331</v>
      </c>
      <c r="M1307" s="2" t="str">
        <f>""</f>
        <v/>
      </c>
    </row>
    <row r="1308" spans="1:13" x14ac:dyDescent="0.15">
      <c r="A1308" s="2" t="str">
        <f t="shared" si="389"/>
        <v>1881110500</v>
      </c>
      <c r="B1308" s="2" t="str">
        <f t="shared" si="390"/>
        <v>佐伯・区政調整</v>
      </c>
      <c r="C1308" s="2" t="str">
        <f t="shared" si="394"/>
        <v>05ﾀ00601</v>
      </c>
      <c r="D1308" s="2" t="str">
        <f t="shared" si="395"/>
        <v>台</v>
      </c>
      <c r="E1308" s="3" t="str">
        <f t="shared" si="392"/>
        <v>平台</v>
      </c>
      <c r="F1308" s="2" t="str">
        <f t="shared" si="388"/>
        <v>０００１</v>
      </c>
      <c r="G1308" s="2" t="str">
        <f>"3620004300"</f>
        <v>3620004300</v>
      </c>
      <c r="H1308" s="2" t="str">
        <f t="shared" si="386"/>
        <v>001</v>
      </c>
      <c r="I1308" s="2" t="str">
        <f t="shared" si="387"/>
        <v>4100401</v>
      </c>
      <c r="J1308" s="2">
        <f>28000</f>
        <v>28000</v>
      </c>
      <c r="K1308" s="2" t="str">
        <f t="shared" si="393"/>
        <v>台</v>
      </c>
      <c r="L1308" s="2" t="str">
        <f t="shared" si="391"/>
        <v>3630331</v>
      </c>
      <c r="M1308" s="2" t="str">
        <f>""</f>
        <v/>
      </c>
    </row>
    <row r="1309" spans="1:13" x14ac:dyDescent="0.15">
      <c r="A1309" s="2" t="str">
        <f t="shared" si="389"/>
        <v>1881110500</v>
      </c>
      <c r="B1309" s="2" t="str">
        <f t="shared" si="390"/>
        <v>佐伯・区政調整</v>
      </c>
      <c r="C1309" s="2" t="str">
        <f t="shared" si="394"/>
        <v>05ﾀ00601</v>
      </c>
      <c r="D1309" s="2" t="str">
        <f t="shared" si="395"/>
        <v>台</v>
      </c>
      <c r="E1309" s="3" t="str">
        <f t="shared" si="392"/>
        <v>平台</v>
      </c>
      <c r="F1309" s="2" t="str">
        <f t="shared" si="388"/>
        <v>０００１</v>
      </c>
      <c r="G1309" s="2" t="str">
        <f>"3620004301"</f>
        <v>3620004301</v>
      </c>
      <c r="H1309" s="2" t="str">
        <f t="shared" ref="H1309:H1340" si="396">"001"</f>
        <v>001</v>
      </c>
      <c r="I1309" s="2" t="str">
        <f t="shared" si="387"/>
        <v>4100401</v>
      </c>
      <c r="J1309" s="2">
        <f>28000</f>
        <v>28000</v>
      </c>
      <c r="K1309" s="2" t="str">
        <f t="shared" si="393"/>
        <v>台</v>
      </c>
      <c r="L1309" s="2" t="str">
        <f t="shared" si="391"/>
        <v>3630331</v>
      </c>
      <c r="M1309" s="2" t="str">
        <f>""</f>
        <v/>
      </c>
    </row>
    <row r="1310" spans="1:13" x14ac:dyDescent="0.15">
      <c r="A1310" s="2" t="str">
        <f t="shared" si="389"/>
        <v>1881110500</v>
      </c>
      <c r="B1310" s="2" t="str">
        <f t="shared" si="390"/>
        <v>佐伯・区政調整</v>
      </c>
      <c r="C1310" s="2" t="str">
        <f t="shared" si="394"/>
        <v>05ﾀ00601</v>
      </c>
      <c r="D1310" s="2" t="str">
        <f t="shared" si="395"/>
        <v>台</v>
      </c>
      <c r="E1310" s="3" t="str">
        <f t="shared" si="392"/>
        <v>平台</v>
      </c>
      <c r="F1310" s="2" t="str">
        <f t="shared" si="388"/>
        <v>０００１</v>
      </c>
      <c r="G1310" s="2" t="str">
        <f>"3620004302"</f>
        <v>3620004302</v>
      </c>
      <c r="H1310" s="2" t="str">
        <f t="shared" si="396"/>
        <v>001</v>
      </c>
      <c r="I1310" s="2" t="str">
        <f t="shared" si="387"/>
        <v>4100401</v>
      </c>
      <c r="J1310" s="2">
        <f>28000</f>
        <v>28000</v>
      </c>
      <c r="K1310" s="2" t="str">
        <f t="shared" si="393"/>
        <v>台</v>
      </c>
      <c r="L1310" s="2" t="str">
        <f t="shared" si="391"/>
        <v>3630331</v>
      </c>
      <c r="M1310" s="2" t="str">
        <f>""</f>
        <v/>
      </c>
    </row>
    <row r="1311" spans="1:13" x14ac:dyDescent="0.15">
      <c r="A1311" s="2" t="str">
        <f t="shared" si="389"/>
        <v>1881110500</v>
      </c>
      <c r="B1311" s="2" t="str">
        <f t="shared" si="390"/>
        <v>佐伯・区政調整</v>
      </c>
      <c r="C1311" s="2" t="str">
        <f t="shared" si="394"/>
        <v>05ﾀ00601</v>
      </c>
      <c r="D1311" s="2" t="str">
        <f t="shared" si="395"/>
        <v>台</v>
      </c>
      <c r="E1311" s="3" t="str">
        <f t="shared" si="392"/>
        <v>平台</v>
      </c>
      <c r="F1311" s="2" t="str">
        <f t="shared" si="388"/>
        <v>０００１</v>
      </c>
      <c r="G1311" s="2" t="str">
        <f>"3620004303"</f>
        <v>3620004303</v>
      </c>
      <c r="H1311" s="2" t="str">
        <f t="shared" si="396"/>
        <v>001</v>
      </c>
      <c r="I1311" s="2" t="str">
        <f t="shared" si="387"/>
        <v>4100401</v>
      </c>
      <c r="J1311" s="2">
        <f>28000</f>
        <v>28000</v>
      </c>
      <c r="K1311" s="2" t="str">
        <f t="shared" si="393"/>
        <v>台</v>
      </c>
      <c r="L1311" s="2" t="str">
        <f t="shared" si="391"/>
        <v>3630331</v>
      </c>
      <c r="M1311" s="2" t="str">
        <f>""</f>
        <v/>
      </c>
    </row>
    <row r="1312" spans="1:13" x14ac:dyDescent="0.15">
      <c r="A1312" s="2" t="str">
        <f t="shared" si="389"/>
        <v>1881110500</v>
      </c>
      <c r="B1312" s="2" t="str">
        <f t="shared" si="390"/>
        <v>佐伯・区政調整</v>
      </c>
      <c r="C1312" s="2" t="str">
        <f t="shared" si="394"/>
        <v>05ﾀ00601</v>
      </c>
      <c r="D1312" s="2" t="str">
        <f t="shared" si="395"/>
        <v>台</v>
      </c>
      <c r="E1312" s="3" t="str">
        <f t="shared" si="392"/>
        <v>平台</v>
      </c>
      <c r="F1312" s="2" t="str">
        <f t="shared" si="388"/>
        <v>０００１</v>
      </c>
      <c r="G1312" s="2" t="str">
        <f>"3620004304"</f>
        <v>3620004304</v>
      </c>
      <c r="H1312" s="2" t="str">
        <f t="shared" si="396"/>
        <v>001</v>
      </c>
      <c r="I1312" s="2" t="str">
        <f t="shared" ref="I1312:I1343" si="397">"4100401"</f>
        <v>4100401</v>
      </c>
      <c r="J1312" s="2">
        <f>28000</f>
        <v>28000</v>
      </c>
      <c r="K1312" s="2" t="str">
        <f t="shared" si="393"/>
        <v>台</v>
      </c>
      <c r="L1312" s="2" t="str">
        <f t="shared" si="391"/>
        <v>3630331</v>
      </c>
      <c r="M1312" s="2" t="str">
        <f>""</f>
        <v/>
      </c>
    </row>
    <row r="1313" spans="1:13" x14ac:dyDescent="0.15">
      <c r="A1313" s="2" t="str">
        <f t="shared" si="389"/>
        <v>1881110500</v>
      </c>
      <c r="B1313" s="2" t="str">
        <f t="shared" si="390"/>
        <v>佐伯・区政調整</v>
      </c>
      <c r="C1313" s="2" t="str">
        <f t="shared" si="394"/>
        <v>05ﾀ00601</v>
      </c>
      <c r="D1313" s="2" t="str">
        <f t="shared" si="395"/>
        <v>台</v>
      </c>
      <c r="E1313" s="3" t="str">
        <f t="shared" si="392"/>
        <v>平台</v>
      </c>
      <c r="F1313" s="2" t="str">
        <f t="shared" si="388"/>
        <v>０００１</v>
      </c>
      <c r="G1313" s="2" t="str">
        <f>"3620004305"</f>
        <v>3620004305</v>
      </c>
      <c r="H1313" s="2" t="str">
        <f t="shared" si="396"/>
        <v>001</v>
      </c>
      <c r="I1313" s="2" t="str">
        <f t="shared" si="397"/>
        <v>4100401</v>
      </c>
      <c r="J1313" s="2">
        <f>28000</f>
        <v>28000</v>
      </c>
      <c r="K1313" s="2" t="str">
        <f t="shared" si="393"/>
        <v>台</v>
      </c>
      <c r="L1313" s="2" t="str">
        <f t="shared" si="391"/>
        <v>3630331</v>
      </c>
      <c r="M1313" s="2" t="str">
        <f>""</f>
        <v/>
      </c>
    </row>
    <row r="1314" spans="1:13" x14ac:dyDescent="0.15">
      <c r="A1314" s="2" t="str">
        <f t="shared" si="389"/>
        <v>1881110500</v>
      </c>
      <c r="B1314" s="2" t="str">
        <f t="shared" si="390"/>
        <v>佐伯・区政調整</v>
      </c>
      <c r="C1314" s="2" t="str">
        <f t="shared" si="394"/>
        <v>05ﾀ00601</v>
      </c>
      <c r="D1314" s="2" t="str">
        <f t="shared" si="395"/>
        <v>台</v>
      </c>
      <c r="E1314" s="3" t="str">
        <f t="shared" si="392"/>
        <v>平台</v>
      </c>
      <c r="F1314" s="2" t="str">
        <f t="shared" si="388"/>
        <v>０００１</v>
      </c>
      <c r="G1314" s="2" t="str">
        <f>"3620004306"</f>
        <v>3620004306</v>
      </c>
      <c r="H1314" s="2" t="str">
        <f t="shared" si="396"/>
        <v>001</v>
      </c>
      <c r="I1314" s="2" t="str">
        <f t="shared" si="397"/>
        <v>4100401</v>
      </c>
      <c r="J1314" s="2">
        <f>28000</f>
        <v>28000</v>
      </c>
      <c r="K1314" s="2" t="str">
        <f t="shared" si="393"/>
        <v>台</v>
      </c>
      <c r="L1314" s="2" t="str">
        <f t="shared" si="391"/>
        <v>3630331</v>
      </c>
      <c r="M1314" s="2" t="str">
        <f>""</f>
        <v/>
      </c>
    </row>
    <row r="1315" spans="1:13" x14ac:dyDescent="0.15">
      <c r="A1315" s="2" t="str">
        <f t="shared" si="389"/>
        <v>1881110500</v>
      </c>
      <c r="B1315" s="2" t="str">
        <f t="shared" si="390"/>
        <v>佐伯・区政調整</v>
      </c>
      <c r="C1315" s="2" t="str">
        <f t="shared" si="394"/>
        <v>05ﾀ00601</v>
      </c>
      <c r="D1315" s="2" t="str">
        <f t="shared" si="395"/>
        <v>台</v>
      </c>
      <c r="E1315" s="3" t="str">
        <f t="shared" si="392"/>
        <v>平台</v>
      </c>
      <c r="F1315" s="2" t="str">
        <f t="shared" si="388"/>
        <v>０００１</v>
      </c>
      <c r="G1315" s="2" t="str">
        <f>"3620004307"</f>
        <v>3620004307</v>
      </c>
      <c r="H1315" s="2" t="str">
        <f t="shared" si="396"/>
        <v>001</v>
      </c>
      <c r="I1315" s="2" t="str">
        <f t="shared" si="397"/>
        <v>4100401</v>
      </c>
      <c r="J1315" s="2">
        <f>28000</f>
        <v>28000</v>
      </c>
      <c r="K1315" s="2" t="str">
        <f t="shared" si="393"/>
        <v>台</v>
      </c>
      <c r="L1315" s="2" t="str">
        <f t="shared" si="391"/>
        <v>3630331</v>
      </c>
      <c r="M1315" s="2" t="str">
        <f>""</f>
        <v/>
      </c>
    </row>
    <row r="1316" spans="1:13" x14ac:dyDescent="0.15">
      <c r="A1316" s="2" t="str">
        <f t="shared" si="389"/>
        <v>1881110500</v>
      </c>
      <c r="B1316" s="2" t="str">
        <f t="shared" si="390"/>
        <v>佐伯・区政調整</v>
      </c>
      <c r="C1316" s="2" t="str">
        <f t="shared" si="394"/>
        <v>05ﾀ00601</v>
      </c>
      <c r="D1316" s="2" t="str">
        <f t="shared" si="395"/>
        <v>台</v>
      </c>
      <c r="E1316" s="3" t="str">
        <f t="shared" si="392"/>
        <v>平台</v>
      </c>
      <c r="F1316" s="2" t="str">
        <f t="shared" si="388"/>
        <v>０００１</v>
      </c>
      <c r="G1316" s="2" t="str">
        <f>"3620004308"</f>
        <v>3620004308</v>
      </c>
      <c r="H1316" s="2" t="str">
        <f t="shared" si="396"/>
        <v>001</v>
      </c>
      <c r="I1316" s="2" t="str">
        <f t="shared" si="397"/>
        <v>4100401</v>
      </c>
      <c r="J1316" s="2">
        <f>22000</f>
        <v>22000</v>
      </c>
      <c r="K1316" s="2" t="str">
        <f t="shared" si="393"/>
        <v>台</v>
      </c>
      <c r="L1316" s="2" t="str">
        <f t="shared" si="391"/>
        <v>3630331</v>
      </c>
      <c r="M1316" s="2" t="str">
        <f>""</f>
        <v/>
      </c>
    </row>
    <row r="1317" spans="1:13" x14ac:dyDescent="0.15">
      <c r="A1317" s="2" t="str">
        <f t="shared" si="389"/>
        <v>1881110500</v>
      </c>
      <c r="B1317" s="2" t="str">
        <f t="shared" si="390"/>
        <v>佐伯・区政調整</v>
      </c>
      <c r="C1317" s="2" t="str">
        <f t="shared" si="394"/>
        <v>05ﾀ00601</v>
      </c>
      <c r="D1317" s="2" t="str">
        <f t="shared" si="395"/>
        <v>台</v>
      </c>
      <c r="E1317" s="3" t="str">
        <f t="shared" si="392"/>
        <v>平台</v>
      </c>
      <c r="F1317" s="2" t="str">
        <f t="shared" ref="F1317:F1348" si="398">"０００１"</f>
        <v>０００１</v>
      </c>
      <c r="G1317" s="2" t="str">
        <f>"3620004309"</f>
        <v>3620004309</v>
      </c>
      <c r="H1317" s="2" t="str">
        <f t="shared" si="396"/>
        <v>001</v>
      </c>
      <c r="I1317" s="2" t="str">
        <f t="shared" si="397"/>
        <v>4100401</v>
      </c>
      <c r="J1317" s="2">
        <f>22000</f>
        <v>22000</v>
      </c>
      <c r="K1317" s="2" t="str">
        <f t="shared" si="393"/>
        <v>台</v>
      </c>
      <c r="L1317" s="2" t="str">
        <f t="shared" si="391"/>
        <v>3630331</v>
      </c>
      <c r="M1317" s="2" t="str">
        <f>""</f>
        <v/>
      </c>
    </row>
    <row r="1318" spans="1:13" x14ac:dyDescent="0.15">
      <c r="A1318" s="2" t="str">
        <f t="shared" si="389"/>
        <v>1881110500</v>
      </c>
      <c r="B1318" s="2" t="str">
        <f t="shared" si="390"/>
        <v>佐伯・区政調整</v>
      </c>
      <c r="C1318" s="2" t="str">
        <f t="shared" si="394"/>
        <v>05ﾀ00601</v>
      </c>
      <c r="D1318" s="2" t="str">
        <f t="shared" si="395"/>
        <v>台</v>
      </c>
      <c r="E1318" s="3" t="str">
        <f t="shared" si="392"/>
        <v>平台</v>
      </c>
      <c r="F1318" s="2" t="str">
        <f t="shared" si="398"/>
        <v>０００１</v>
      </c>
      <c r="G1318" s="2" t="str">
        <f>"3620004310"</f>
        <v>3620004310</v>
      </c>
      <c r="H1318" s="2" t="str">
        <f t="shared" si="396"/>
        <v>001</v>
      </c>
      <c r="I1318" s="2" t="str">
        <f t="shared" si="397"/>
        <v>4100401</v>
      </c>
      <c r="J1318" s="2">
        <f>22000</f>
        <v>22000</v>
      </c>
      <c r="K1318" s="2" t="str">
        <f t="shared" si="393"/>
        <v>台</v>
      </c>
      <c r="L1318" s="2" t="str">
        <f t="shared" si="391"/>
        <v>3630331</v>
      </c>
      <c r="M1318" s="2" t="str">
        <f>""</f>
        <v/>
      </c>
    </row>
    <row r="1319" spans="1:13" x14ac:dyDescent="0.15">
      <c r="A1319" s="2" t="str">
        <f t="shared" si="389"/>
        <v>1881110500</v>
      </c>
      <c r="B1319" s="2" t="str">
        <f t="shared" si="390"/>
        <v>佐伯・区政調整</v>
      </c>
      <c r="C1319" s="2" t="str">
        <f t="shared" si="394"/>
        <v>05ﾀ00601</v>
      </c>
      <c r="D1319" s="2" t="str">
        <f t="shared" si="395"/>
        <v>台</v>
      </c>
      <c r="E1319" s="3" t="str">
        <f t="shared" si="392"/>
        <v>平台</v>
      </c>
      <c r="F1319" s="2" t="str">
        <f t="shared" si="398"/>
        <v>０００１</v>
      </c>
      <c r="G1319" s="2" t="str">
        <f>"3620004311"</f>
        <v>3620004311</v>
      </c>
      <c r="H1319" s="2" t="str">
        <f t="shared" si="396"/>
        <v>001</v>
      </c>
      <c r="I1319" s="2" t="str">
        <f t="shared" si="397"/>
        <v>4100401</v>
      </c>
      <c r="J1319" s="2">
        <f>22000</f>
        <v>22000</v>
      </c>
      <c r="K1319" s="2" t="str">
        <f t="shared" si="393"/>
        <v>台</v>
      </c>
      <c r="L1319" s="2" t="str">
        <f t="shared" si="391"/>
        <v>3630331</v>
      </c>
      <c r="M1319" s="2" t="str">
        <f>""</f>
        <v/>
      </c>
    </row>
    <row r="1320" spans="1:13" x14ac:dyDescent="0.15">
      <c r="A1320" s="2" t="str">
        <f t="shared" si="389"/>
        <v>1881110500</v>
      </c>
      <c r="B1320" s="2" t="str">
        <f t="shared" si="390"/>
        <v>佐伯・区政調整</v>
      </c>
      <c r="C1320" s="2" t="str">
        <f t="shared" si="394"/>
        <v>05ﾀ00601</v>
      </c>
      <c r="D1320" s="2" t="str">
        <f t="shared" si="395"/>
        <v>台</v>
      </c>
      <c r="E1320" s="3" t="str">
        <f t="shared" si="392"/>
        <v>平台</v>
      </c>
      <c r="F1320" s="2" t="str">
        <f t="shared" si="398"/>
        <v>０００１</v>
      </c>
      <c r="G1320" s="2" t="str">
        <f>"3620004312"</f>
        <v>3620004312</v>
      </c>
      <c r="H1320" s="2" t="str">
        <f t="shared" si="396"/>
        <v>001</v>
      </c>
      <c r="I1320" s="2" t="str">
        <f t="shared" si="397"/>
        <v>4100401</v>
      </c>
      <c r="J1320" s="2">
        <f>22000</f>
        <v>22000</v>
      </c>
      <c r="K1320" s="2" t="str">
        <f t="shared" si="393"/>
        <v>台</v>
      </c>
      <c r="L1320" s="2" t="str">
        <f t="shared" si="391"/>
        <v>3630331</v>
      </c>
      <c r="M1320" s="2" t="str">
        <f>""</f>
        <v/>
      </c>
    </row>
    <row r="1321" spans="1:13" x14ac:dyDescent="0.15">
      <c r="A1321" s="2" t="str">
        <f t="shared" si="389"/>
        <v>1881110500</v>
      </c>
      <c r="B1321" s="2" t="str">
        <f t="shared" si="390"/>
        <v>佐伯・区政調整</v>
      </c>
      <c r="C1321" s="2" t="str">
        <f t="shared" si="394"/>
        <v>05ﾀ00601</v>
      </c>
      <c r="D1321" s="2" t="str">
        <f t="shared" si="395"/>
        <v>台</v>
      </c>
      <c r="E1321" s="3" t="str">
        <f t="shared" si="392"/>
        <v>平台</v>
      </c>
      <c r="F1321" s="2" t="str">
        <f t="shared" si="398"/>
        <v>０００１</v>
      </c>
      <c r="G1321" s="2" t="str">
        <f>"3620004313"</f>
        <v>3620004313</v>
      </c>
      <c r="H1321" s="2" t="str">
        <f t="shared" si="396"/>
        <v>001</v>
      </c>
      <c r="I1321" s="2" t="str">
        <f t="shared" si="397"/>
        <v>4100401</v>
      </c>
      <c r="J1321" s="2">
        <f>22000</f>
        <v>22000</v>
      </c>
      <c r="K1321" s="2" t="str">
        <f t="shared" si="393"/>
        <v>台</v>
      </c>
      <c r="L1321" s="2" t="str">
        <f t="shared" si="391"/>
        <v>3630331</v>
      </c>
      <c r="M1321" s="2" t="str">
        <f>""</f>
        <v/>
      </c>
    </row>
    <row r="1322" spans="1:13" x14ac:dyDescent="0.15">
      <c r="A1322" s="2" t="str">
        <f t="shared" si="389"/>
        <v>1881110500</v>
      </c>
      <c r="B1322" s="2" t="str">
        <f t="shared" si="390"/>
        <v>佐伯・区政調整</v>
      </c>
      <c r="C1322" s="2" t="str">
        <f t="shared" si="394"/>
        <v>05ﾀ00601</v>
      </c>
      <c r="D1322" s="2" t="str">
        <f t="shared" si="395"/>
        <v>台</v>
      </c>
      <c r="E1322" s="3" t="str">
        <f t="shared" si="392"/>
        <v>平台</v>
      </c>
      <c r="F1322" s="2" t="str">
        <f t="shared" si="398"/>
        <v>０００１</v>
      </c>
      <c r="G1322" s="2" t="str">
        <f>"3620004314"</f>
        <v>3620004314</v>
      </c>
      <c r="H1322" s="2" t="str">
        <f t="shared" si="396"/>
        <v>001</v>
      </c>
      <c r="I1322" s="2" t="str">
        <f t="shared" si="397"/>
        <v>4100401</v>
      </c>
      <c r="J1322" s="2">
        <f>22000</f>
        <v>22000</v>
      </c>
      <c r="K1322" s="2" t="str">
        <f t="shared" si="393"/>
        <v>台</v>
      </c>
      <c r="L1322" s="2" t="str">
        <f t="shared" si="391"/>
        <v>3630331</v>
      </c>
      <c r="M1322" s="2" t="str">
        <f>""</f>
        <v/>
      </c>
    </row>
    <row r="1323" spans="1:13" x14ac:dyDescent="0.15">
      <c r="A1323" s="2" t="str">
        <f t="shared" si="389"/>
        <v>1881110500</v>
      </c>
      <c r="B1323" s="2" t="str">
        <f t="shared" si="390"/>
        <v>佐伯・区政調整</v>
      </c>
      <c r="C1323" s="2" t="str">
        <f t="shared" si="394"/>
        <v>05ﾀ00601</v>
      </c>
      <c r="D1323" s="2" t="str">
        <f t="shared" si="395"/>
        <v>台</v>
      </c>
      <c r="E1323" s="3" t="str">
        <f t="shared" si="392"/>
        <v>平台</v>
      </c>
      <c r="F1323" s="2" t="str">
        <f t="shared" si="398"/>
        <v>０００１</v>
      </c>
      <c r="G1323" s="2" t="str">
        <f>"3620004315"</f>
        <v>3620004315</v>
      </c>
      <c r="H1323" s="2" t="str">
        <f t="shared" si="396"/>
        <v>001</v>
      </c>
      <c r="I1323" s="2" t="str">
        <f t="shared" si="397"/>
        <v>4100401</v>
      </c>
      <c r="J1323" s="2">
        <f>22000</f>
        <v>22000</v>
      </c>
      <c r="K1323" s="2" t="str">
        <f t="shared" si="393"/>
        <v>台</v>
      </c>
      <c r="L1323" s="2" t="str">
        <f t="shared" si="391"/>
        <v>3630331</v>
      </c>
      <c r="M1323" s="2" t="str">
        <f>""</f>
        <v/>
      </c>
    </row>
    <row r="1324" spans="1:13" x14ac:dyDescent="0.15">
      <c r="A1324" s="2" t="str">
        <f t="shared" si="389"/>
        <v>1881110500</v>
      </c>
      <c r="B1324" s="2" t="str">
        <f t="shared" si="390"/>
        <v>佐伯・区政調整</v>
      </c>
      <c r="C1324" s="2" t="str">
        <f t="shared" si="394"/>
        <v>05ﾀ00601</v>
      </c>
      <c r="D1324" s="2" t="str">
        <f t="shared" si="395"/>
        <v>台</v>
      </c>
      <c r="E1324" s="3" t="str">
        <f t="shared" si="392"/>
        <v>平台</v>
      </c>
      <c r="F1324" s="2" t="str">
        <f t="shared" si="398"/>
        <v>０００１</v>
      </c>
      <c r="G1324" s="2" t="str">
        <f>"3620004316"</f>
        <v>3620004316</v>
      </c>
      <c r="H1324" s="2" t="str">
        <f t="shared" si="396"/>
        <v>001</v>
      </c>
      <c r="I1324" s="2" t="str">
        <f t="shared" si="397"/>
        <v>4100401</v>
      </c>
      <c r="J1324" s="2">
        <f>22000</f>
        <v>22000</v>
      </c>
      <c r="K1324" s="2" t="str">
        <f t="shared" si="393"/>
        <v>台</v>
      </c>
      <c r="L1324" s="2" t="str">
        <f t="shared" ref="L1324:L1354" si="399">"3630331"</f>
        <v>3630331</v>
      </c>
      <c r="M1324" s="2" t="str">
        <f>""</f>
        <v/>
      </c>
    </row>
    <row r="1325" spans="1:13" x14ac:dyDescent="0.15">
      <c r="A1325" s="2" t="str">
        <f t="shared" si="389"/>
        <v>1881110500</v>
      </c>
      <c r="B1325" s="2" t="str">
        <f t="shared" si="390"/>
        <v>佐伯・区政調整</v>
      </c>
      <c r="C1325" s="2" t="str">
        <f t="shared" si="394"/>
        <v>05ﾀ00601</v>
      </c>
      <c r="D1325" s="2" t="str">
        <f t="shared" si="395"/>
        <v>台</v>
      </c>
      <c r="E1325" s="3" t="str">
        <f t="shared" si="392"/>
        <v>平台</v>
      </c>
      <c r="F1325" s="2" t="str">
        <f t="shared" si="398"/>
        <v>０００１</v>
      </c>
      <c r="G1325" s="2" t="str">
        <f>"3620004317"</f>
        <v>3620004317</v>
      </c>
      <c r="H1325" s="2" t="str">
        <f t="shared" si="396"/>
        <v>001</v>
      </c>
      <c r="I1325" s="2" t="str">
        <f t="shared" si="397"/>
        <v>4100401</v>
      </c>
      <c r="J1325" s="2">
        <f>22000</f>
        <v>22000</v>
      </c>
      <c r="K1325" s="2" t="str">
        <f t="shared" si="393"/>
        <v>台</v>
      </c>
      <c r="L1325" s="2" t="str">
        <f t="shared" si="399"/>
        <v>3630331</v>
      </c>
      <c r="M1325" s="2" t="str">
        <f>""</f>
        <v/>
      </c>
    </row>
    <row r="1326" spans="1:13" x14ac:dyDescent="0.15">
      <c r="A1326" s="2" t="str">
        <f t="shared" si="389"/>
        <v>1881110500</v>
      </c>
      <c r="B1326" s="2" t="str">
        <f t="shared" si="390"/>
        <v>佐伯・区政調整</v>
      </c>
      <c r="C1326" s="2" t="str">
        <f t="shared" si="394"/>
        <v>05ﾀ00601</v>
      </c>
      <c r="D1326" s="2" t="str">
        <f t="shared" si="395"/>
        <v>台</v>
      </c>
      <c r="E1326" s="3" t="str">
        <f t="shared" si="392"/>
        <v>平台</v>
      </c>
      <c r="F1326" s="2" t="str">
        <f t="shared" si="398"/>
        <v>０００１</v>
      </c>
      <c r="G1326" s="2" t="str">
        <f>"3620004318"</f>
        <v>3620004318</v>
      </c>
      <c r="H1326" s="2" t="str">
        <f t="shared" si="396"/>
        <v>001</v>
      </c>
      <c r="I1326" s="2" t="str">
        <f t="shared" si="397"/>
        <v>4100401</v>
      </c>
      <c r="J1326" s="2">
        <f>22000</f>
        <v>22000</v>
      </c>
      <c r="K1326" s="2" t="str">
        <f t="shared" si="393"/>
        <v>台</v>
      </c>
      <c r="L1326" s="2" t="str">
        <f t="shared" si="399"/>
        <v>3630331</v>
      </c>
      <c r="M1326" s="2" t="str">
        <f>""</f>
        <v/>
      </c>
    </row>
    <row r="1327" spans="1:13" x14ac:dyDescent="0.15">
      <c r="A1327" s="2" t="str">
        <f t="shared" si="389"/>
        <v>1881110500</v>
      </c>
      <c r="B1327" s="2" t="str">
        <f t="shared" si="390"/>
        <v>佐伯・区政調整</v>
      </c>
      <c r="C1327" s="2" t="str">
        <f t="shared" si="394"/>
        <v>05ﾀ00601</v>
      </c>
      <c r="D1327" s="2" t="str">
        <f t="shared" si="395"/>
        <v>台</v>
      </c>
      <c r="E1327" s="3" t="str">
        <f t="shared" ref="E1327:E1344" si="400">"平台"</f>
        <v>平台</v>
      </c>
      <c r="F1327" s="2" t="str">
        <f t="shared" si="398"/>
        <v>０００１</v>
      </c>
      <c r="G1327" s="2" t="str">
        <f>"3620004319"</f>
        <v>3620004319</v>
      </c>
      <c r="H1327" s="2" t="str">
        <f t="shared" si="396"/>
        <v>001</v>
      </c>
      <c r="I1327" s="2" t="str">
        <f t="shared" si="397"/>
        <v>4100401</v>
      </c>
      <c r="J1327" s="2">
        <f>22000</f>
        <v>22000</v>
      </c>
      <c r="K1327" s="2" t="str">
        <f t="shared" si="393"/>
        <v>台</v>
      </c>
      <c r="L1327" s="2" t="str">
        <f t="shared" si="399"/>
        <v>3630331</v>
      </c>
      <c r="M1327" s="2" t="str">
        <f>""</f>
        <v/>
      </c>
    </row>
    <row r="1328" spans="1:13" x14ac:dyDescent="0.15">
      <c r="A1328" s="2" t="str">
        <f t="shared" si="389"/>
        <v>1881110500</v>
      </c>
      <c r="B1328" s="2" t="str">
        <f t="shared" si="390"/>
        <v>佐伯・区政調整</v>
      </c>
      <c r="C1328" s="2" t="str">
        <f t="shared" si="394"/>
        <v>05ﾀ00601</v>
      </c>
      <c r="D1328" s="2" t="str">
        <f t="shared" si="395"/>
        <v>台</v>
      </c>
      <c r="E1328" s="3" t="str">
        <f t="shared" si="400"/>
        <v>平台</v>
      </c>
      <c r="F1328" s="2" t="str">
        <f t="shared" si="398"/>
        <v>０００１</v>
      </c>
      <c r="G1328" s="2" t="str">
        <f>"3620004320"</f>
        <v>3620004320</v>
      </c>
      <c r="H1328" s="2" t="str">
        <f t="shared" si="396"/>
        <v>001</v>
      </c>
      <c r="I1328" s="2" t="str">
        <f t="shared" si="397"/>
        <v>4100401</v>
      </c>
      <c r="J1328" s="2">
        <f>22000</f>
        <v>22000</v>
      </c>
      <c r="K1328" s="2" t="str">
        <f t="shared" si="393"/>
        <v>台</v>
      </c>
      <c r="L1328" s="2" t="str">
        <f t="shared" si="399"/>
        <v>3630331</v>
      </c>
      <c r="M1328" s="2" t="str">
        <f>""</f>
        <v/>
      </c>
    </row>
    <row r="1329" spans="1:13" x14ac:dyDescent="0.15">
      <c r="A1329" s="2" t="str">
        <f t="shared" si="389"/>
        <v>1881110500</v>
      </c>
      <c r="B1329" s="2" t="str">
        <f t="shared" si="390"/>
        <v>佐伯・区政調整</v>
      </c>
      <c r="C1329" s="2" t="str">
        <f t="shared" si="394"/>
        <v>05ﾀ00601</v>
      </c>
      <c r="D1329" s="2" t="str">
        <f t="shared" si="395"/>
        <v>台</v>
      </c>
      <c r="E1329" s="3" t="str">
        <f t="shared" si="400"/>
        <v>平台</v>
      </c>
      <c r="F1329" s="2" t="str">
        <f t="shared" si="398"/>
        <v>０００１</v>
      </c>
      <c r="G1329" s="2" t="str">
        <f>"3620004321"</f>
        <v>3620004321</v>
      </c>
      <c r="H1329" s="2" t="str">
        <f t="shared" si="396"/>
        <v>001</v>
      </c>
      <c r="I1329" s="2" t="str">
        <f t="shared" si="397"/>
        <v>4100401</v>
      </c>
      <c r="J1329" s="2">
        <f>22000</f>
        <v>22000</v>
      </c>
      <c r="K1329" s="2" t="str">
        <f t="shared" si="393"/>
        <v>台</v>
      </c>
      <c r="L1329" s="2" t="str">
        <f t="shared" si="399"/>
        <v>3630331</v>
      </c>
      <c r="M1329" s="2" t="str">
        <f>""</f>
        <v/>
      </c>
    </row>
    <row r="1330" spans="1:13" x14ac:dyDescent="0.15">
      <c r="A1330" s="2" t="str">
        <f t="shared" si="389"/>
        <v>1881110500</v>
      </c>
      <c r="B1330" s="2" t="str">
        <f t="shared" si="390"/>
        <v>佐伯・区政調整</v>
      </c>
      <c r="C1330" s="2" t="str">
        <f t="shared" si="394"/>
        <v>05ﾀ00601</v>
      </c>
      <c r="D1330" s="2" t="str">
        <f t="shared" si="395"/>
        <v>台</v>
      </c>
      <c r="E1330" s="3" t="str">
        <f t="shared" si="400"/>
        <v>平台</v>
      </c>
      <c r="F1330" s="2" t="str">
        <f t="shared" si="398"/>
        <v>０００１</v>
      </c>
      <c r="G1330" s="2" t="str">
        <f>"3620004322"</f>
        <v>3620004322</v>
      </c>
      <c r="H1330" s="2" t="str">
        <f t="shared" si="396"/>
        <v>001</v>
      </c>
      <c r="I1330" s="2" t="str">
        <f t="shared" si="397"/>
        <v>4100401</v>
      </c>
      <c r="J1330" s="2">
        <f>22000</f>
        <v>22000</v>
      </c>
      <c r="K1330" s="2" t="str">
        <f t="shared" si="393"/>
        <v>台</v>
      </c>
      <c r="L1330" s="2" t="str">
        <f t="shared" si="399"/>
        <v>3630331</v>
      </c>
      <c r="M1330" s="2" t="str">
        <f>""</f>
        <v/>
      </c>
    </row>
    <row r="1331" spans="1:13" x14ac:dyDescent="0.15">
      <c r="A1331" s="2" t="str">
        <f t="shared" si="389"/>
        <v>1881110500</v>
      </c>
      <c r="B1331" s="2" t="str">
        <f t="shared" si="390"/>
        <v>佐伯・区政調整</v>
      </c>
      <c r="C1331" s="2" t="str">
        <f t="shared" si="394"/>
        <v>05ﾀ00601</v>
      </c>
      <c r="D1331" s="2" t="str">
        <f t="shared" si="395"/>
        <v>台</v>
      </c>
      <c r="E1331" s="3" t="str">
        <f t="shared" si="400"/>
        <v>平台</v>
      </c>
      <c r="F1331" s="2" t="str">
        <f t="shared" si="398"/>
        <v>０００１</v>
      </c>
      <c r="G1331" s="2" t="str">
        <f>"3620004323"</f>
        <v>3620004323</v>
      </c>
      <c r="H1331" s="2" t="str">
        <f t="shared" si="396"/>
        <v>001</v>
      </c>
      <c r="I1331" s="2" t="str">
        <f t="shared" si="397"/>
        <v>4100401</v>
      </c>
      <c r="J1331" s="2">
        <f>22000</f>
        <v>22000</v>
      </c>
      <c r="K1331" s="2" t="str">
        <f t="shared" si="393"/>
        <v>台</v>
      </c>
      <c r="L1331" s="2" t="str">
        <f t="shared" si="399"/>
        <v>3630331</v>
      </c>
      <c r="M1331" s="2" t="str">
        <f>""</f>
        <v/>
      </c>
    </row>
    <row r="1332" spans="1:13" x14ac:dyDescent="0.15">
      <c r="A1332" s="2" t="str">
        <f t="shared" si="389"/>
        <v>1881110500</v>
      </c>
      <c r="B1332" s="2" t="str">
        <f t="shared" si="390"/>
        <v>佐伯・区政調整</v>
      </c>
      <c r="C1332" s="2" t="str">
        <f t="shared" si="394"/>
        <v>05ﾀ00601</v>
      </c>
      <c r="D1332" s="2" t="str">
        <f t="shared" si="395"/>
        <v>台</v>
      </c>
      <c r="E1332" s="3" t="str">
        <f t="shared" si="400"/>
        <v>平台</v>
      </c>
      <c r="F1332" s="2" t="str">
        <f t="shared" si="398"/>
        <v>０００１</v>
      </c>
      <c r="G1332" s="2" t="str">
        <f>"3620004324"</f>
        <v>3620004324</v>
      </c>
      <c r="H1332" s="2" t="str">
        <f t="shared" si="396"/>
        <v>001</v>
      </c>
      <c r="I1332" s="2" t="str">
        <f t="shared" si="397"/>
        <v>4100401</v>
      </c>
      <c r="J1332" s="2">
        <f>22000</f>
        <v>22000</v>
      </c>
      <c r="K1332" s="2" t="str">
        <f t="shared" si="393"/>
        <v>台</v>
      </c>
      <c r="L1332" s="2" t="str">
        <f t="shared" si="399"/>
        <v>3630331</v>
      </c>
      <c r="M1332" s="2" t="str">
        <f>""</f>
        <v/>
      </c>
    </row>
    <row r="1333" spans="1:13" x14ac:dyDescent="0.15">
      <c r="A1333" s="2" t="str">
        <f t="shared" si="389"/>
        <v>1881110500</v>
      </c>
      <c r="B1333" s="2" t="str">
        <f t="shared" si="390"/>
        <v>佐伯・区政調整</v>
      </c>
      <c r="C1333" s="2" t="str">
        <f t="shared" si="394"/>
        <v>05ﾀ00601</v>
      </c>
      <c r="D1333" s="2" t="str">
        <f t="shared" si="395"/>
        <v>台</v>
      </c>
      <c r="E1333" s="3" t="str">
        <f t="shared" si="400"/>
        <v>平台</v>
      </c>
      <c r="F1333" s="2" t="str">
        <f t="shared" si="398"/>
        <v>０００１</v>
      </c>
      <c r="G1333" s="2" t="str">
        <f>"3620004325"</f>
        <v>3620004325</v>
      </c>
      <c r="H1333" s="2" t="str">
        <f t="shared" si="396"/>
        <v>001</v>
      </c>
      <c r="I1333" s="2" t="str">
        <f t="shared" si="397"/>
        <v>4100401</v>
      </c>
      <c r="J1333" s="2">
        <f>22000</f>
        <v>22000</v>
      </c>
      <c r="K1333" s="2" t="str">
        <f t="shared" si="393"/>
        <v>台</v>
      </c>
      <c r="L1333" s="2" t="str">
        <f t="shared" si="399"/>
        <v>3630331</v>
      </c>
      <c r="M1333" s="2" t="str">
        <f>""</f>
        <v/>
      </c>
    </row>
    <row r="1334" spans="1:13" x14ac:dyDescent="0.15">
      <c r="A1334" s="2" t="str">
        <f t="shared" si="389"/>
        <v>1881110500</v>
      </c>
      <c r="B1334" s="2" t="str">
        <f t="shared" si="390"/>
        <v>佐伯・区政調整</v>
      </c>
      <c r="C1334" s="2" t="str">
        <f t="shared" si="394"/>
        <v>05ﾀ00601</v>
      </c>
      <c r="D1334" s="2" t="str">
        <f t="shared" si="395"/>
        <v>台</v>
      </c>
      <c r="E1334" s="3" t="str">
        <f t="shared" si="400"/>
        <v>平台</v>
      </c>
      <c r="F1334" s="2" t="str">
        <f t="shared" si="398"/>
        <v>０００１</v>
      </c>
      <c r="G1334" s="2" t="str">
        <f>"3620004326"</f>
        <v>3620004326</v>
      </c>
      <c r="H1334" s="2" t="str">
        <f t="shared" si="396"/>
        <v>001</v>
      </c>
      <c r="I1334" s="2" t="str">
        <f t="shared" si="397"/>
        <v>4100401</v>
      </c>
      <c r="J1334" s="2">
        <f>22000</f>
        <v>22000</v>
      </c>
      <c r="K1334" s="2" t="str">
        <f t="shared" ref="K1334:K1354" si="401">"台"</f>
        <v>台</v>
      </c>
      <c r="L1334" s="2" t="str">
        <f t="shared" si="399"/>
        <v>3630331</v>
      </c>
      <c r="M1334" s="2" t="str">
        <f>""</f>
        <v/>
      </c>
    </row>
    <row r="1335" spans="1:13" x14ac:dyDescent="0.15">
      <c r="A1335" s="2" t="str">
        <f t="shared" si="389"/>
        <v>1881110500</v>
      </c>
      <c r="B1335" s="2" t="str">
        <f t="shared" si="390"/>
        <v>佐伯・区政調整</v>
      </c>
      <c r="C1335" s="2" t="str">
        <f t="shared" si="394"/>
        <v>05ﾀ00601</v>
      </c>
      <c r="D1335" s="2" t="str">
        <f t="shared" si="395"/>
        <v>台</v>
      </c>
      <c r="E1335" s="3" t="str">
        <f t="shared" si="400"/>
        <v>平台</v>
      </c>
      <c r="F1335" s="2" t="str">
        <f t="shared" si="398"/>
        <v>０００１</v>
      </c>
      <c r="G1335" s="2" t="str">
        <f>"3620004327"</f>
        <v>3620004327</v>
      </c>
      <c r="H1335" s="2" t="str">
        <f t="shared" si="396"/>
        <v>001</v>
      </c>
      <c r="I1335" s="2" t="str">
        <f t="shared" si="397"/>
        <v>4100401</v>
      </c>
      <c r="J1335" s="2">
        <f>22000</f>
        <v>22000</v>
      </c>
      <c r="K1335" s="2" t="str">
        <f t="shared" si="401"/>
        <v>台</v>
      </c>
      <c r="L1335" s="2" t="str">
        <f t="shared" si="399"/>
        <v>3630331</v>
      </c>
      <c r="M1335" s="2" t="str">
        <f>""</f>
        <v/>
      </c>
    </row>
    <row r="1336" spans="1:13" x14ac:dyDescent="0.15">
      <c r="A1336" s="2" t="str">
        <f t="shared" si="389"/>
        <v>1881110500</v>
      </c>
      <c r="B1336" s="2" t="str">
        <f t="shared" si="390"/>
        <v>佐伯・区政調整</v>
      </c>
      <c r="C1336" s="2" t="str">
        <f t="shared" si="394"/>
        <v>05ﾀ00601</v>
      </c>
      <c r="D1336" s="2" t="str">
        <f t="shared" si="395"/>
        <v>台</v>
      </c>
      <c r="E1336" s="3" t="str">
        <f t="shared" si="400"/>
        <v>平台</v>
      </c>
      <c r="F1336" s="2" t="str">
        <f t="shared" si="398"/>
        <v>０００１</v>
      </c>
      <c r="G1336" s="2" t="str">
        <f>"3620004328"</f>
        <v>3620004328</v>
      </c>
      <c r="H1336" s="2" t="str">
        <f t="shared" si="396"/>
        <v>001</v>
      </c>
      <c r="I1336" s="2" t="str">
        <f t="shared" si="397"/>
        <v>4100401</v>
      </c>
      <c r="J1336" s="2">
        <f>22000</f>
        <v>22000</v>
      </c>
      <c r="K1336" s="2" t="str">
        <f t="shared" si="401"/>
        <v>台</v>
      </c>
      <c r="L1336" s="2" t="str">
        <f t="shared" si="399"/>
        <v>3630331</v>
      </c>
      <c r="M1336" s="2" t="str">
        <f>""</f>
        <v/>
      </c>
    </row>
    <row r="1337" spans="1:13" x14ac:dyDescent="0.15">
      <c r="A1337" s="2" t="str">
        <f t="shared" si="389"/>
        <v>1881110500</v>
      </c>
      <c r="B1337" s="2" t="str">
        <f t="shared" si="390"/>
        <v>佐伯・区政調整</v>
      </c>
      <c r="C1337" s="2" t="str">
        <f t="shared" si="394"/>
        <v>05ﾀ00601</v>
      </c>
      <c r="D1337" s="2" t="str">
        <f t="shared" si="395"/>
        <v>台</v>
      </c>
      <c r="E1337" s="3" t="str">
        <f t="shared" si="400"/>
        <v>平台</v>
      </c>
      <c r="F1337" s="2" t="str">
        <f t="shared" si="398"/>
        <v>０００１</v>
      </c>
      <c r="G1337" s="2" t="str">
        <f>"3620004329"</f>
        <v>3620004329</v>
      </c>
      <c r="H1337" s="2" t="str">
        <f t="shared" si="396"/>
        <v>001</v>
      </c>
      <c r="I1337" s="2" t="str">
        <f t="shared" si="397"/>
        <v>4100401</v>
      </c>
      <c r="J1337" s="2">
        <f>22000</f>
        <v>22000</v>
      </c>
      <c r="K1337" s="2" t="str">
        <f t="shared" si="401"/>
        <v>台</v>
      </c>
      <c r="L1337" s="2" t="str">
        <f t="shared" si="399"/>
        <v>3630331</v>
      </c>
      <c r="M1337" s="2" t="str">
        <f>""</f>
        <v/>
      </c>
    </row>
    <row r="1338" spans="1:13" x14ac:dyDescent="0.15">
      <c r="A1338" s="2" t="str">
        <f t="shared" si="389"/>
        <v>1881110500</v>
      </c>
      <c r="B1338" s="2" t="str">
        <f t="shared" si="390"/>
        <v>佐伯・区政調整</v>
      </c>
      <c r="C1338" s="2" t="str">
        <f t="shared" ref="C1338:C1354" si="402">"05ﾀ00601"</f>
        <v>05ﾀ00601</v>
      </c>
      <c r="D1338" s="2" t="str">
        <f t="shared" ref="D1338:D1354" si="403">"台"</f>
        <v>台</v>
      </c>
      <c r="E1338" s="3" t="str">
        <f t="shared" si="400"/>
        <v>平台</v>
      </c>
      <c r="F1338" s="2" t="str">
        <f t="shared" si="398"/>
        <v>０００１</v>
      </c>
      <c r="G1338" s="2" t="str">
        <f>"3620004330"</f>
        <v>3620004330</v>
      </c>
      <c r="H1338" s="2" t="str">
        <f t="shared" si="396"/>
        <v>001</v>
      </c>
      <c r="I1338" s="2" t="str">
        <f t="shared" si="397"/>
        <v>4100401</v>
      </c>
      <c r="J1338" s="2">
        <f>22000</f>
        <v>22000</v>
      </c>
      <c r="K1338" s="2" t="str">
        <f t="shared" si="401"/>
        <v>台</v>
      </c>
      <c r="L1338" s="2" t="str">
        <f t="shared" si="399"/>
        <v>3630331</v>
      </c>
      <c r="M1338" s="2" t="str">
        <f>""</f>
        <v/>
      </c>
    </row>
    <row r="1339" spans="1:13" x14ac:dyDescent="0.15">
      <c r="A1339" s="2" t="str">
        <f t="shared" si="389"/>
        <v>1881110500</v>
      </c>
      <c r="B1339" s="2" t="str">
        <f t="shared" si="390"/>
        <v>佐伯・区政調整</v>
      </c>
      <c r="C1339" s="2" t="str">
        <f t="shared" si="402"/>
        <v>05ﾀ00601</v>
      </c>
      <c r="D1339" s="2" t="str">
        <f t="shared" si="403"/>
        <v>台</v>
      </c>
      <c r="E1339" s="3" t="str">
        <f t="shared" si="400"/>
        <v>平台</v>
      </c>
      <c r="F1339" s="2" t="str">
        <f t="shared" si="398"/>
        <v>０００１</v>
      </c>
      <c r="G1339" s="2" t="str">
        <f>"3620004331"</f>
        <v>3620004331</v>
      </c>
      <c r="H1339" s="2" t="str">
        <f t="shared" si="396"/>
        <v>001</v>
      </c>
      <c r="I1339" s="2" t="str">
        <f t="shared" si="397"/>
        <v>4100401</v>
      </c>
      <c r="J1339" s="2">
        <f>22000</f>
        <v>22000</v>
      </c>
      <c r="K1339" s="2" t="str">
        <f t="shared" si="401"/>
        <v>台</v>
      </c>
      <c r="L1339" s="2" t="str">
        <f t="shared" si="399"/>
        <v>3630331</v>
      </c>
      <c r="M1339" s="2" t="str">
        <f>""</f>
        <v/>
      </c>
    </row>
    <row r="1340" spans="1:13" x14ac:dyDescent="0.15">
      <c r="A1340" s="2" t="str">
        <f t="shared" si="389"/>
        <v>1881110500</v>
      </c>
      <c r="B1340" s="2" t="str">
        <f t="shared" si="390"/>
        <v>佐伯・区政調整</v>
      </c>
      <c r="C1340" s="2" t="str">
        <f t="shared" si="402"/>
        <v>05ﾀ00601</v>
      </c>
      <c r="D1340" s="2" t="str">
        <f t="shared" si="403"/>
        <v>台</v>
      </c>
      <c r="E1340" s="3" t="str">
        <f t="shared" si="400"/>
        <v>平台</v>
      </c>
      <c r="F1340" s="2" t="str">
        <f t="shared" si="398"/>
        <v>０００１</v>
      </c>
      <c r="G1340" s="2" t="str">
        <f>"3620004332"</f>
        <v>3620004332</v>
      </c>
      <c r="H1340" s="2" t="str">
        <f t="shared" si="396"/>
        <v>001</v>
      </c>
      <c r="I1340" s="2" t="str">
        <f t="shared" si="397"/>
        <v>4100401</v>
      </c>
      <c r="J1340" s="2">
        <f>22000</f>
        <v>22000</v>
      </c>
      <c r="K1340" s="2" t="str">
        <f t="shared" si="401"/>
        <v>台</v>
      </c>
      <c r="L1340" s="2" t="str">
        <f t="shared" si="399"/>
        <v>3630331</v>
      </c>
      <c r="M1340" s="2" t="str">
        <f>""</f>
        <v/>
      </c>
    </row>
    <row r="1341" spans="1:13" x14ac:dyDescent="0.15">
      <c r="A1341" s="2" t="str">
        <f t="shared" si="389"/>
        <v>1881110500</v>
      </c>
      <c r="B1341" s="2" t="str">
        <f t="shared" si="390"/>
        <v>佐伯・区政調整</v>
      </c>
      <c r="C1341" s="2" t="str">
        <f t="shared" si="402"/>
        <v>05ﾀ00601</v>
      </c>
      <c r="D1341" s="2" t="str">
        <f t="shared" si="403"/>
        <v>台</v>
      </c>
      <c r="E1341" s="3" t="str">
        <f t="shared" si="400"/>
        <v>平台</v>
      </c>
      <c r="F1341" s="2" t="str">
        <f t="shared" si="398"/>
        <v>０００１</v>
      </c>
      <c r="G1341" s="2" t="str">
        <f>"3620004333"</f>
        <v>3620004333</v>
      </c>
      <c r="H1341" s="2" t="str">
        <f t="shared" ref="H1341:H1354" si="404">"001"</f>
        <v>001</v>
      </c>
      <c r="I1341" s="2" t="str">
        <f t="shared" si="397"/>
        <v>4100401</v>
      </c>
      <c r="J1341" s="2">
        <f>39000</f>
        <v>39000</v>
      </c>
      <c r="K1341" s="2" t="str">
        <f t="shared" si="401"/>
        <v>台</v>
      </c>
      <c r="L1341" s="2" t="str">
        <f t="shared" si="399"/>
        <v>3630331</v>
      </c>
      <c r="M1341" s="2" t="str">
        <f>""</f>
        <v/>
      </c>
    </row>
    <row r="1342" spans="1:13" x14ac:dyDescent="0.15">
      <c r="A1342" s="2" t="str">
        <f t="shared" si="389"/>
        <v>1881110500</v>
      </c>
      <c r="B1342" s="2" t="str">
        <f t="shared" si="390"/>
        <v>佐伯・区政調整</v>
      </c>
      <c r="C1342" s="2" t="str">
        <f t="shared" si="402"/>
        <v>05ﾀ00601</v>
      </c>
      <c r="D1342" s="2" t="str">
        <f t="shared" si="403"/>
        <v>台</v>
      </c>
      <c r="E1342" s="3" t="str">
        <f t="shared" si="400"/>
        <v>平台</v>
      </c>
      <c r="F1342" s="2" t="str">
        <f t="shared" si="398"/>
        <v>０００１</v>
      </c>
      <c r="G1342" s="2" t="str">
        <f>"3620004334"</f>
        <v>3620004334</v>
      </c>
      <c r="H1342" s="2" t="str">
        <f t="shared" si="404"/>
        <v>001</v>
      </c>
      <c r="I1342" s="2" t="str">
        <f t="shared" si="397"/>
        <v>4100401</v>
      </c>
      <c r="J1342" s="2">
        <f>39000</f>
        <v>39000</v>
      </c>
      <c r="K1342" s="2" t="str">
        <f t="shared" si="401"/>
        <v>台</v>
      </c>
      <c r="L1342" s="2" t="str">
        <f t="shared" si="399"/>
        <v>3630331</v>
      </c>
      <c r="M1342" s="2" t="str">
        <f>""</f>
        <v/>
      </c>
    </row>
    <row r="1343" spans="1:13" x14ac:dyDescent="0.15">
      <c r="A1343" s="2" t="str">
        <f t="shared" si="389"/>
        <v>1881110500</v>
      </c>
      <c r="B1343" s="2" t="str">
        <f t="shared" si="390"/>
        <v>佐伯・区政調整</v>
      </c>
      <c r="C1343" s="2" t="str">
        <f t="shared" si="402"/>
        <v>05ﾀ00601</v>
      </c>
      <c r="D1343" s="2" t="str">
        <f t="shared" si="403"/>
        <v>台</v>
      </c>
      <c r="E1343" s="3" t="str">
        <f t="shared" si="400"/>
        <v>平台</v>
      </c>
      <c r="F1343" s="2" t="str">
        <f t="shared" si="398"/>
        <v>０００１</v>
      </c>
      <c r="G1343" s="2" t="str">
        <f>"3620004335"</f>
        <v>3620004335</v>
      </c>
      <c r="H1343" s="2" t="str">
        <f t="shared" si="404"/>
        <v>001</v>
      </c>
      <c r="I1343" s="2" t="str">
        <f t="shared" si="397"/>
        <v>4100401</v>
      </c>
      <c r="J1343" s="2">
        <f>39000</f>
        <v>39000</v>
      </c>
      <c r="K1343" s="2" t="str">
        <f t="shared" si="401"/>
        <v>台</v>
      </c>
      <c r="L1343" s="2" t="str">
        <f t="shared" si="399"/>
        <v>3630331</v>
      </c>
      <c r="M1343" s="2" t="str">
        <f>""</f>
        <v/>
      </c>
    </row>
    <row r="1344" spans="1:13" x14ac:dyDescent="0.15">
      <c r="A1344" s="2" t="str">
        <f t="shared" si="389"/>
        <v>1881110500</v>
      </c>
      <c r="B1344" s="2" t="str">
        <f t="shared" si="390"/>
        <v>佐伯・区政調整</v>
      </c>
      <c r="C1344" s="2" t="str">
        <f t="shared" si="402"/>
        <v>05ﾀ00601</v>
      </c>
      <c r="D1344" s="2" t="str">
        <f t="shared" si="403"/>
        <v>台</v>
      </c>
      <c r="E1344" s="3" t="str">
        <f t="shared" si="400"/>
        <v>平台</v>
      </c>
      <c r="F1344" s="2" t="str">
        <f t="shared" si="398"/>
        <v>０００１</v>
      </c>
      <c r="G1344" s="2" t="str">
        <f>"3620004336"</f>
        <v>3620004336</v>
      </c>
      <c r="H1344" s="2" t="str">
        <f t="shared" si="404"/>
        <v>001</v>
      </c>
      <c r="I1344" s="2" t="str">
        <f t="shared" ref="I1344:I1354" si="405">"4100401"</f>
        <v>4100401</v>
      </c>
      <c r="J1344" s="2">
        <f>39000</f>
        <v>39000</v>
      </c>
      <c r="K1344" s="2" t="str">
        <f t="shared" si="401"/>
        <v>台</v>
      </c>
      <c r="L1344" s="2" t="str">
        <f t="shared" si="399"/>
        <v>3630331</v>
      </c>
      <c r="M1344" s="2" t="str">
        <f>""</f>
        <v/>
      </c>
    </row>
    <row r="1345" spans="1:13" x14ac:dyDescent="0.15">
      <c r="A1345" s="2" t="str">
        <f t="shared" si="389"/>
        <v>1881110500</v>
      </c>
      <c r="B1345" s="2" t="str">
        <f t="shared" si="390"/>
        <v>佐伯・区政調整</v>
      </c>
      <c r="C1345" s="2" t="str">
        <f t="shared" si="402"/>
        <v>05ﾀ00601</v>
      </c>
      <c r="D1345" s="2" t="str">
        <f t="shared" si="403"/>
        <v>台</v>
      </c>
      <c r="E1345" s="3" t="str">
        <f>"平台　変型Ａ"</f>
        <v>平台　変型Ａ</v>
      </c>
      <c r="F1345" s="2" t="str">
        <f t="shared" si="398"/>
        <v>０００１</v>
      </c>
      <c r="G1345" s="2" t="str">
        <f>"3620004337"</f>
        <v>3620004337</v>
      </c>
      <c r="H1345" s="2" t="str">
        <f t="shared" si="404"/>
        <v>001</v>
      </c>
      <c r="I1345" s="2" t="str">
        <f t="shared" si="405"/>
        <v>4100401</v>
      </c>
      <c r="J1345" s="2">
        <f>28000</f>
        <v>28000</v>
      </c>
      <c r="K1345" s="2" t="str">
        <f t="shared" si="401"/>
        <v>台</v>
      </c>
      <c r="L1345" s="2" t="str">
        <f t="shared" si="399"/>
        <v>3630331</v>
      </c>
      <c r="M1345" s="2" t="str">
        <f>""</f>
        <v/>
      </c>
    </row>
    <row r="1346" spans="1:13" x14ac:dyDescent="0.15">
      <c r="A1346" s="2" t="str">
        <f t="shared" si="389"/>
        <v>1881110500</v>
      </c>
      <c r="B1346" s="2" t="str">
        <f t="shared" si="390"/>
        <v>佐伯・区政調整</v>
      </c>
      <c r="C1346" s="2" t="str">
        <f t="shared" si="402"/>
        <v>05ﾀ00601</v>
      </c>
      <c r="D1346" s="2" t="str">
        <f t="shared" si="403"/>
        <v>台</v>
      </c>
      <c r="E1346" s="3" t="str">
        <f>"平台　変型Ａ"</f>
        <v>平台　変型Ａ</v>
      </c>
      <c r="F1346" s="2" t="str">
        <f t="shared" si="398"/>
        <v>０００１</v>
      </c>
      <c r="G1346" s="2" t="str">
        <f>"3620004338"</f>
        <v>3620004338</v>
      </c>
      <c r="H1346" s="2" t="str">
        <f t="shared" si="404"/>
        <v>001</v>
      </c>
      <c r="I1346" s="2" t="str">
        <f t="shared" si="405"/>
        <v>4100401</v>
      </c>
      <c r="J1346" s="2">
        <f>28000</f>
        <v>28000</v>
      </c>
      <c r="K1346" s="2" t="str">
        <f t="shared" si="401"/>
        <v>台</v>
      </c>
      <c r="L1346" s="2" t="str">
        <f t="shared" si="399"/>
        <v>3630331</v>
      </c>
      <c r="M1346" s="2" t="str">
        <f>""</f>
        <v/>
      </c>
    </row>
    <row r="1347" spans="1:13" x14ac:dyDescent="0.15">
      <c r="A1347" s="2" t="str">
        <f t="shared" si="389"/>
        <v>1881110500</v>
      </c>
      <c r="B1347" s="2" t="str">
        <f t="shared" si="390"/>
        <v>佐伯・区政調整</v>
      </c>
      <c r="C1347" s="2" t="str">
        <f t="shared" si="402"/>
        <v>05ﾀ00601</v>
      </c>
      <c r="D1347" s="2" t="str">
        <f t="shared" si="403"/>
        <v>台</v>
      </c>
      <c r="E1347" s="3" t="str">
        <f>"平台　変型Ｂ"</f>
        <v>平台　変型Ｂ</v>
      </c>
      <c r="F1347" s="2" t="str">
        <f t="shared" si="398"/>
        <v>０００１</v>
      </c>
      <c r="G1347" s="2" t="str">
        <f>"3620004339"</f>
        <v>3620004339</v>
      </c>
      <c r="H1347" s="2" t="str">
        <f t="shared" si="404"/>
        <v>001</v>
      </c>
      <c r="I1347" s="2" t="str">
        <f t="shared" si="405"/>
        <v>4100401</v>
      </c>
      <c r="J1347" s="2">
        <f>28000</f>
        <v>28000</v>
      </c>
      <c r="K1347" s="2" t="str">
        <f t="shared" si="401"/>
        <v>台</v>
      </c>
      <c r="L1347" s="2" t="str">
        <f t="shared" si="399"/>
        <v>3630331</v>
      </c>
      <c r="M1347" s="2" t="str">
        <f>""</f>
        <v/>
      </c>
    </row>
    <row r="1348" spans="1:13" x14ac:dyDescent="0.15">
      <c r="A1348" s="2" t="str">
        <f t="shared" si="389"/>
        <v>1881110500</v>
      </c>
      <c r="B1348" s="2" t="str">
        <f t="shared" si="390"/>
        <v>佐伯・区政調整</v>
      </c>
      <c r="C1348" s="2" t="str">
        <f t="shared" si="402"/>
        <v>05ﾀ00601</v>
      </c>
      <c r="D1348" s="2" t="str">
        <f t="shared" si="403"/>
        <v>台</v>
      </c>
      <c r="E1348" s="3" t="str">
        <f>"平台　変型Ｂ"</f>
        <v>平台　変型Ｂ</v>
      </c>
      <c r="F1348" s="2" t="str">
        <f t="shared" si="398"/>
        <v>０００１</v>
      </c>
      <c r="G1348" s="2" t="str">
        <f>"3620004340"</f>
        <v>3620004340</v>
      </c>
      <c r="H1348" s="2" t="str">
        <f t="shared" si="404"/>
        <v>001</v>
      </c>
      <c r="I1348" s="2" t="str">
        <f t="shared" si="405"/>
        <v>4100401</v>
      </c>
      <c r="J1348" s="2">
        <f>28000</f>
        <v>28000</v>
      </c>
      <c r="K1348" s="2" t="str">
        <f t="shared" si="401"/>
        <v>台</v>
      </c>
      <c r="L1348" s="2" t="str">
        <f t="shared" si="399"/>
        <v>3630331</v>
      </c>
      <c r="M1348" s="2" t="str">
        <f>""</f>
        <v/>
      </c>
    </row>
    <row r="1349" spans="1:13" x14ac:dyDescent="0.15">
      <c r="A1349" s="2" t="str">
        <f t="shared" si="389"/>
        <v>1881110500</v>
      </c>
      <c r="B1349" s="2" t="str">
        <f t="shared" si="390"/>
        <v>佐伯・区政調整</v>
      </c>
      <c r="C1349" s="2" t="str">
        <f t="shared" si="402"/>
        <v>05ﾀ00601</v>
      </c>
      <c r="D1349" s="2" t="str">
        <f t="shared" si="403"/>
        <v>台</v>
      </c>
      <c r="E1349" s="3" t="str">
        <f>"平台　変型Ｃ"</f>
        <v>平台　変型Ｃ</v>
      </c>
      <c r="F1349" s="2" t="str">
        <f t="shared" ref="F1349:F1354" si="406">"０００１"</f>
        <v>０００１</v>
      </c>
      <c r="G1349" s="2" t="str">
        <f>"3620004341"</f>
        <v>3620004341</v>
      </c>
      <c r="H1349" s="2" t="str">
        <f t="shared" si="404"/>
        <v>001</v>
      </c>
      <c r="I1349" s="2" t="str">
        <f t="shared" si="405"/>
        <v>4100401</v>
      </c>
      <c r="J1349" s="2">
        <f>28000</f>
        <v>28000</v>
      </c>
      <c r="K1349" s="2" t="str">
        <f t="shared" si="401"/>
        <v>台</v>
      </c>
      <c r="L1349" s="2" t="str">
        <f t="shared" si="399"/>
        <v>3630331</v>
      </c>
      <c r="M1349" s="2" t="str">
        <f>""</f>
        <v/>
      </c>
    </row>
    <row r="1350" spans="1:13" x14ac:dyDescent="0.15">
      <c r="A1350" s="2" t="str">
        <f t="shared" si="389"/>
        <v>1881110500</v>
      </c>
      <c r="B1350" s="2" t="str">
        <f t="shared" si="390"/>
        <v>佐伯・区政調整</v>
      </c>
      <c r="C1350" s="2" t="str">
        <f t="shared" si="402"/>
        <v>05ﾀ00601</v>
      </c>
      <c r="D1350" s="2" t="str">
        <f t="shared" si="403"/>
        <v>台</v>
      </c>
      <c r="E1350" s="3" t="str">
        <f>"平台　変型Ｃ"</f>
        <v>平台　変型Ｃ</v>
      </c>
      <c r="F1350" s="2" t="str">
        <f t="shared" si="406"/>
        <v>０００１</v>
      </c>
      <c r="G1350" s="2" t="str">
        <f>"3620004342"</f>
        <v>3620004342</v>
      </c>
      <c r="H1350" s="2" t="str">
        <f t="shared" si="404"/>
        <v>001</v>
      </c>
      <c r="I1350" s="2" t="str">
        <f t="shared" si="405"/>
        <v>4100401</v>
      </c>
      <c r="J1350" s="2">
        <f>28000</f>
        <v>28000</v>
      </c>
      <c r="K1350" s="2" t="str">
        <f t="shared" si="401"/>
        <v>台</v>
      </c>
      <c r="L1350" s="2" t="str">
        <f t="shared" si="399"/>
        <v>3630331</v>
      </c>
      <c r="M1350" s="2" t="str">
        <f>""</f>
        <v/>
      </c>
    </row>
    <row r="1351" spans="1:13" x14ac:dyDescent="0.15">
      <c r="A1351" s="2" t="str">
        <f t="shared" si="389"/>
        <v>1881110500</v>
      </c>
      <c r="B1351" s="2" t="str">
        <f t="shared" si="390"/>
        <v>佐伯・区政調整</v>
      </c>
      <c r="C1351" s="2" t="str">
        <f t="shared" si="402"/>
        <v>05ﾀ00601</v>
      </c>
      <c r="D1351" s="2" t="str">
        <f t="shared" si="403"/>
        <v>台</v>
      </c>
      <c r="E1351" s="3" t="str">
        <f>"平台　変型Ｄ"</f>
        <v>平台　変型Ｄ</v>
      </c>
      <c r="F1351" s="2" t="str">
        <f t="shared" si="406"/>
        <v>０００１</v>
      </c>
      <c r="G1351" s="2" t="str">
        <f>"3620004343"</f>
        <v>3620004343</v>
      </c>
      <c r="H1351" s="2" t="str">
        <f t="shared" si="404"/>
        <v>001</v>
      </c>
      <c r="I1351" s="2" t="str">
        <f t="shared" si="405"/>
        <v>4100401</v>
      </c>
      <c r="J1351" s="2">
        <f>28000</f>
        <v>28000</v>
      </c>
      <c r="K1351" s="2" t="str">
        <f t="shared" si="401"/>
        <v>台</v>
      </c>
      <c r="L1351" s="2" t="str">
        <f t="shared" si="399"/>
        <v>3630331</v>
      </c>
      <c r="M1351" s="2" t="str">
        <f>""</f>
        <v/>
      </c>
    </row>
    <row r="1352" spans="1:13" x14ac:dyDescent="0.15">
      <c r="A1352" s="2" t="str">
        <f t="shared" si="389"/>
        <v>1881110500</v>
      </c>
      <c r="B1352" s="2" t="str">
        <f t="shared" si="390"/>
        <v>佐伯・区政調整</v>
      </c>
      <c r="C1352" s="2" t="str">
        <f t="shared" si="402"/>
        <v>05ﾀ00601</v>
      </c>
      <c r="D1352" s="2" t="str">
        <f t="shared" si="403"/>
        <v>台</v>
      </c>
      <c r="E1352" s="3" t="str">
        <f>"平台　変型Ｄ"</f>
        <v>平台　変型Ｄ</v>
      </c>
      <c r="F1352" s="2" t="str">
        <f t="shared" si="406"/>
        <v>０００１</v>
      </c>
      <c r="G1352" s="2" t="str">
        <f>"3620004344"</f>
        <v>3620004344</v>
      </c>
      <c r="H1352" s="2" t="str">
        <f t="shared" si="404"/>
        <v>001</v>
      </c>
      <c r="I1352" s="2" t="str">
        <f t="shared" si="405"/>
        <v>4100401</v>
      </c>
      <c r="J1352" s="2">
        <f>28000</f>
        <v>28000</v>
      </c>
      <c r="K1352" s="2" t="str">
        <f t="shared" si="401"/>
        <v>台</v>
      </c>
      <c r="L1352" s="2" t="str">
        <f t="shared" si="399"/>
        <v>3630331</v>
      </c>
      <c r="M1352" s="2" t="str">
        <f>""</f>
        <v/>
      </c>
    </row>
    <row r="1353" spans="1:13" x14ac:dyDescent="0.15">
      <c r="A1353" s="2" t="str">
        <f t="shared" si="389"/>
        <v>1881110500</v>
      </c>
      <c r="B1353" s="2" t="str">
        <f t="shared" si="390"/>
        <v>佐伯・区政調整</v>
      </c>
      <c r="C1353" s="2" t="str">
        <f t="shared" si="402"/>
        <v>05ﾀ00601</v>
      </c>
      <c r="D1353" s="2" t="str">
        <f t="shared" si="403"/>
        <v>台</v>
      </c>
      <c r="E1353" s="3" t="str">
        <f>"ヒナ段用ケコミパネル"</f>
        <v>ヒナ段用ケコミパネル</v>
      </c>
      <c r="F1353" s="2" t="str">
        <f t="shared" si="406"/>
        <v>０００１</v>
      </c>
      <c r="G1353" s="2" t="str">
        <f>"3620004345"</f>
        <v>3620004345</v>
      </c>
      <c r="H1353" s="2" t="str">
        <f t="shared" si="404"/>
        <v>001</v>
      </c>
      <c r="I1353" s="2" t="str">
        <f t="shared" si="405"/>
        <v>4100401</v>
      </c>
      <c r="J1353" s="2">
        <f>180000</f>
        <v>180000</v>
      </c>
      <c r="K1353" s="2" t="str">
        <f t="shared" si="401"/>
        <v>台</v>
      </c>
      <c r="L1353" s="2" t="str">
        <f t="shared" si="399"/>
        <v>3630331</v>
      </c>
      <c r="M1353" s="2" t="str">
        <f>""</f>
        <v/>
      </c>
    </row>
    <row r="1354" spans="1:13" x14ac:dyDescent="0.15">
      <c r="A1354" s="2" t="str">
        <f t="shared" si="389"/>
        <v>1881110500</v>
      </c>
      <c r="B1354" s="2" t="str">
        <f t="shared" si="390"/>
        <v>佐伯・区政調整</v>
      </c>
      <c r="C1354" s="2" t="str">
        <f t="shared" si="402"/>
        <v>05ﾀ00601</v>
      </c>
      <c r="D1354" s="2" t="str">
        <f t="shared" si="403"/>
        <v>台</v>
      </c>
      <c r="E1354" s="3" t="str">
        <f>"めくり台　Ｈ１５１５"</f>
        <v>めくり台　Ｈ１５１５</v>
      </c>
      <c r="F1354" s="2" t="str">
        <f t="shared" si="406"/>
        <v>０００１</v>
      </c>
      <c r="G1354" s="2" t="str">
        <f>"3620004346"</f>
        <v>3620004346</v>
      </c>
      <c r="H1354" s="2" t="str">
        <f t="shared" si="404"/>
        <v>001</v>
      </c>
      <c r="I1354" s="2" t="str">
        <f t="shared" si="405"/>
        <v>4100401</v>
      </c>
      <c r="J1354" s="2">
        <f>30000</f>
        <v>30000</v>
      </c>
      <c r="K1354" s="2" t="str">
        <f t="shared" si="401"/>
        <v>台</v>
      </c>
      <c r="L1354" s="2" t="str">
        <f t="shared" si="399"/>
        <v>3630331</v>
      </c>
      <c r="M1354" s="2" t="str">
        <f>""</f>
        <v/>
      </c>
    </row>
    <row r="1355" spans="1:13" x14ac:dyDescent="0.15">
      <c r="A1355" s="2" t="str">
        <f t="shared" ref="A1355:A1388" si="407">"1881110500"</f>
        <v>1881110500</v>
      </c>
      <c r="B1355" s="2" t="str">
        <f t="shared" ref="B1355:B1388" si="408">"佐伯・区政調整"</f>
        <v>佐伯・区政調整</v>
      </c>
      <c r="C1355" s="2" t="str">
        <f>"05ﾁ00101"</f>
        <v>05ﾁ00101</v>
      </c>
      <c r="D1355" s="2" t="str">
        <f>"ステレオ"</f>
        <v>ステレオ</v>
      </c>
      <c r="E1355" s="3" t="str">
        <f>"コンポーネント　ソニー６点セット"</f>
        <v>コンポーネント　ソニー６点セット</v>
      </c>
      <c r="F1355" s="2" t="str">
        <f t="shared" ref="F1355:F1361" si="409">"０００１"</f>
        <v>０００１</v>
      </c>
      <c r="G1355" s="2" t="str">
        <f>"3620004347"</f>
        <v>3620004347</v>
      </c>
      <c r="H1355" s="2" t="str">
        <f t="shared" ref="H1355:H1361" si="410">"001"</f>
        <v>001</v>
      </c>
      <c r="I1355" s="2" t="str">
        <f>"4100401"</f>
        <v>4100401</v>
      </c>
      <c r="J1355" s="2">
        <f>190000</f>
        <v>190000</v>
      </c>
      <c r="K1355" s="2" t="str">
        <f>"式"</f>
        <v>式</v>
      </c>
      <c r="L1355" s="2" t="str">
        <f>"3630331"</f>
        <v>3630331</v>
      </c>
      <c r="M1355" s="2" t="str">
        <f>""</f>
        <v/>
      </c>
    </row>
    <row r="1356" spans="1:13" x14ac:dyDescent="0.15">
      <c r="A1356" s="2" t="str">
        <f t="shared" si="407"/>
        <v>1881110500</v>
      </c>
      <c r="B1356" s="2" t="str">
        <f t="shared" si="408"/>
        <v>佐伯・区政調整</v>
      </c>
      <c r="C1356" s="2" t="str">
        <f>"05ﾁ00101"</f>
        <v>05ﾁ00101</v>
      </c>
      <c r="D1356" s="2" t="str">
        <f>"ステレオ"</f>
        <v>ステレオ</v>
      </c>
      <c r="E1356" s="3" t="str">
        <f>"ＳＯＮＹ　ＣＭＴ－Ｍ３５ＷＭＷＣ"</f>
        <v>ＳＯＮＹ　ＣＭＴ－Ｍ３５ＷＭＷＣ</v>
      </c>
      <c r="F1356" s="2" t="str">
        <f t="shared" si="409"/>
        <v>０００１</v>
      </c>
      <c r="G1356" s="2" t="str">
        <f>"4230003798"</f>
        <v>4230003798</v>
      </c>
      <c r="H1356" s="2" t="str">
        <f t="shared" si="410"/>
        <v>001</v>
      </c>
      <c r="I1356" s="2" t="str">
        <f>"4231004"</f>
        <v>4231004</v>
      </c>
      <c r="J1356" s="2">
        <f>24675</f>
        <v>24675</v>
      </c>
      <c r="K1356" s="2" t="str">
        <f>"式"</f>
        <v>式</v>
      </c>
      <c r="L1356" s="2" t="str">
        <f>"4231004"</f>
        <v>4231004</v>
      </c>
      <c r="M1356" s="2" t="str">
        <f>"4231004"</f>
        <v>4231004</v>
      </c>
    </row>
    <row r="1357" spans="1:13" x14ac:dyDescent="0.15">
      <c r="A1357" s="2" t="str">
        <f t="shared" si="407"/>
        <v>1881110500</v>
      </c>
      <c r="B1357" s="2" t="str">
        <f t="shared" si="408"/>
        <v>佐伯・区政調整</v>
      </c>
      <c r="C1357" s="2" t="str">
        <f>"05ﾁ00102"</f>
        <v>05ﾁ00102</v>
      </c>
      <c r="D1357" s="2" t="str">
        <f>"レコードプレーヤー"</f>
        <v>レコードプレーヤー</v>
      </c>
      <c r="E1357" s="3" t="str">
        <f>"カートリッジ付　デノンＤＰー５９Ｌ"</f>
        <v>カートリッジ付　デノンＤＰー５９Ｌ</v>
      </c>
      <c r="F1357" s="2" t="str">
        <f t="shared" si="409"/>
        <v>０００１</v>
      </c>
      <c r="G1357" s="2" t="str">
        <f>"3620004349"</f>
        <v>3620004349</v>
      </c>
      <c r="H1357" s="2" t="str">
        <f t="shared" si="410"/>
        <v>001</v>
      </c>
      <c r="I1357" s="2" t="str">
        <f>"4100401"</f>
        <v>4100401</v>
      </c>
      <c r="J1357" s="2">
        <f>81000</f>
        <v>81000</v>
      </c>
      <c r="K1357" s="2" t="str">
        <f>"台"</f>
        <v>台</v>
      </c>
      <c r="L1357" s="2" t="str">
        <f>"3630331"</f>
        <v>3630331</v>
      </c>
      <c r="M1357" s="2" t="str">
        <f>""</f>
        <v/>
      </c>
    </row>
    <row r="1358" spans="1:13" x14ac:dyDescent="0.15">
      <c r="A1358" s="2" t="str">
        <f t="shared" si="407"/>
        <v>1881110500</v>
      </c>
      <c r="B1358" s="2" t="str">
        <f t="shared" si="408"/>
        <v>佐伯・区政調整</v>
      </c>
      <c r="C1358" s="2" t="str">
        <f>"05ﾁ00401"</f>
        <v>05ﾁ00401</v>
      </c>
      <c r="D1358" s="2" t="str">
        <f>"茶器"</f>
        <v>茶器</v>
      </c>
      <c r="E1358" s="3" t="str">
        <f>"茶道具セット"</f>
        <v>茶道具セット</v>
      </c>
      <c r="F1358" s="2" t="str">
        <f t="shared" si="409"/>
        <v>０００１</v>
      </c>
      <c r="G1358" s="2" t="str">
        <f>"3620004350"</f>
        <v>3620004350</v>
      </c>
      <c r="H1358" s="2" t="str">
        <f t="shared" si="410"/>
        <v>001</v>
      </c>
      <c r="I1358" s="2" t="str">
        <f>"4100401"</f>
        <v>4100401</v>
      </c>
      <c r="J1358" s="2">
        <f>36120</f>
        <v>36120</v>
      </c>
      <c r="K1358" s="2" t="str">
        <f>"組"</f>
        <v>組</v>
      </c>
      <c r="L1358" s="2" t="str">
        <f>"3630331"</f>
        <v>3630331</v>
      </c>
      <c r="M1358" s="2" t="str">
        <f>""</f>
        <v/>
      </c>
    </row>
    <row r="1359" spans="1:13" x14ac:dyDescent="0.15">
      <c r="A1359" s="2" t="str">
        <f t="shared" si="407"/>
        <v>1881110500</v>
      </c>
      <c r="B1359" s="2" t="str">
        <f t="shared" si="408"/>
        <v>佐伯・区政調整</v>
      </c>
      <c r="C1359" s="2" t="str">
        <f t="shared" ref="C1359:C1361" si="411">"05ﾃ00301"</f>
        <v>05ﾃ00301</v>
      </c>
      <c r="D1359" s="2" t="str">
        <f t="shared" ref="D1359:D1361" si="412">"テレビ受像器"</f>
        <v>テレビ受像器</v>
      </c>
      <c r="E1359" s="3" t="str">
        <f>"カラー２７型　ＫＸー２７　ＨＶ１Ｓ"</f>
        <v>カラー２７型　ＫＸー２７　ＨＶ１Ｓ</v>
      </c>
      <c r="F1359" s="2" t="str">
        <f t="shared" si="409"/>
        <v>０００１</v>
      </c>
      <c r="G1359" s="2" t="str">
        <f>"3620004351"</f>
        <v>3620004351</v>
      </c>
      <c r="H1359" s="2" t="str">
        <f t="shared" si="410"/>
        <v>001</v>
      </c>
      <c r="I1359" s="2" t="str">
        <f>"4100401"</f>
        <v>4100401</v>
      </c>
      <c r="J1359" s="2">
        <f>220000</f>
        <v>220000</v>
      </c>
      <c r="K1359" s="2" t="str">
        <f t="shared" ref="K1359:K1379" si="413">"台"</f>
        <v>台</v>
      </c>
      <c r="L1359" s="2" t="str">
        <f>"3630331"</f>
        <v>3630331</v>
      </c>
      <c r="M1359" s="2" t="str">
        <f>""</f>
        <v/>
      </c>
    </row>
    <row r="1360" spans="1:13" x14ac:dyDescent="0.15">
      <c r="A1360" s="2" t="str">
        <f t="shared" si="407"/>
        <v>1881110500</v>
      </c>
      <c r="B1360" s="2" t="str">
        <f t="shared" si="408"/>
        <v>佐伯・区政調整</v>
      </c>
      <c r="C1360" s="2" t="str">
        <f t="shared" si="411"/>
        <v>05ﾃ00301</v>
      </c>
      <c r="D1360" s="2" t="str">
        <f t="shared" si="412"/>
        <v>テレビ受像器</v>
      </c>
      <c r="E1360" s="3" t="str">
        <f>"カラー２７型ＫＸー２７ＨＶ１Ｓ"</f>
        <v>カラー２７型ＫＸー２７ＨＶ１Ｓ</v>
      </c>
      <c r="F1360" s="2" t="str">
        <f t="shared" si="409"/>
        <v>０００１</v>
      </c>
      <c r="G1360" s="2" t="str">
        <f>"3620004352"</f>
        <v>3620004352</v>
      </c>
      <c r="H1360" s="2" t="str">
        <f t="shared" si="410"/>
        <v>001</v>
      </c>
      <c r="I1360" s="2" t="str">
        <f>"4100401"</f>
        <v>4100401</v>
      </c>
      <c r="J1360" s="2">
        <f>205000</f>
        <v>205000</v>
      </c>
      <c r="K1360" s="2" t="str">
        <f t="shared" si="413"/>
        <v>台</v>
      </c>
      <c r="L1360" s="2" t="str">
        <f>"3630331"</f>
        <v>3630331</v>
      </c>
      <c r="M1360" s="2" t="str">
        <f>""</f>
        <v/>
      </c>
    </row>
    <row r="1361" spans="1:13" x14ac:dyDescent="0.15">
      <c r="A1361" s="2" t="str">
        <f t="shared" si="407"/>
        <v>1881110500</v>
      </c>
      <c r="B1361" s="2" t="str">
        <f t="shared" si="408"/>
        <v>佐伯・区政調整</v>
      </c>
      <c r="C1361" s="2" t="str">
        <f t="shared" si="411"/>
        <v>05ﾃ00301</v>
      </c>
      <c r="D1361" s="2" t="str">
        <f t="shared" si="412"/>
        <v>テレビ受像器</v>
      </c>
      <c r="E1361" s="3" t="str">
        <f>"カラー２７型　ＫＸー２７　ＨＶ１Ｓ"</f>
        <v>カラー２７型　ＫＸー２７　ＨＶ１Ｓ</v>
      </c>
      <c r="F1361" s="2" t="str">
        <f t="shared" si="409"/>
        <v>０００１</v>
      </c>
      <c r="G1361" s="2" t="str">
        <f>"3620004353"</f>
        <v>3620004353</v>
      </c>
      <c r="H1361" s="2" t="str">
        <f t="shared" si="410"/>
        <v>001</v>
      </c>
      <c r="I1361" s="2" t="str">
        <f>"4100401"</f>
        <v>4100401</v>
      </c>
      <c r="J1361" s="2">
        <f>205000</f>
        <v>205000</v>
      </c>
      <c r="K1361" s="2" t="str">
        <f t="shared" si="413"/>
        <v>台</v>
      </c>
      <c r="L1361" s="2" t="str">
        <f>"3630331"</f>
        <v>3630331</v>
      </c>
      <c r="M1361" s="2" t="str">
        <f>""</f>
        <v/>
      </c>
    </row>
    <row r="1362" spans="1:13" x14ac:dyDescent="0.15">
      <c r="A1362" s="2" t="str">
        <f t="shared" si="407"/>
        <v>1881110500</v>
      </c>
      <c r="B1362" s="2" t="str">
        <f t="shared" si="408"/>
        <v>佐伯・区政調整</v>
      </c>
      <c r="C1362" s="2" t="str">
        <f>"05ﾃ00601"</f>
        <v>05ﾃ00601</v>
      </c>
      <c r="D1362" s="2" t="str">
        <f>"テープレコーダー"</f>
        <v>テープレコーダー</v>
      </c>
      <c r="E1362" s="3" t="str">
        <f>"ＴＡＳＣＡＭ　ＳＳ－ＣＤＲ１"</f>
        <v>ＴＡＳＣＡＭ　ＳＳ－ＣＤＲ１</v>
      </c>
      <c r="F1362" s="2" t="str">
        <f t="shared" ref="F1362:F1379" si="414">"０００１"</f>
        <v>０００１</v>
      </c>
      <c r="G1362" s="2" t="str">
        <f>"4220004559"</f>
        <v>4220004559</v>
      </c>
      <c r="H1362" s="2" t="str">
        <f t="shared" ref="H1362:H1379" si="415">"001"</f>
        <v>001</v>
      </c>
      <c r="I1362" s="2" t="str">
        <f>"4230309"</f>
        <v>4230309</v>
      </c>
      <c r="J1362" s="2">
        <f>89250</f>
        <v>89250</v>
      </c>
      <c r="K1362" s="2" t="str">
        <f t="shared" si="413"/>
        <v>台</v>
      </c>
      <c r="L1362" s="2" t="str">
        <f>"4230309"</f>
        <v>4230309</v>
      </c>
      <c r="M1362" s="2" t="str">
        <f>"4230309"</f>
        <v>4230309</v>
      </c>
    </row>
    <row r="1363" spans="1:13" x14ac:dyDescent="0.15">
      <c r="A1363" s="2" t="str">
        <f t="shared" si="407"/>
        <v>1881110500</v>
      </c>
      <c r="B1363" s="2" t="str">
        <f t="shared" si="408"/>
        <v>佐伯・区政調整</v>
      </c>
      <c r="C1363" s="2" t="str">
        <f>"05ﾃ00601"</f>
        <v>05ﾃ00601</v>
      </c>
      <c r="D1363" s="2" t="str">
        <f>"テープレコーダー"</f>
        <v>テープレコーダー</v>
      </c>
      <c r="E1363" s="3" t="str">
        <f>"ＴＡＳＣＡＭ　ＳＳ－ＣＤＲ１"</f>
        <v>ＴＡＳＣＡＭ　ＳＳ－ＣＤＲ１</v>
      </c>
      <c r="F1363" s="2" t="str">
        <f t="shared" si="414"/>
        <v>０００１</v>
      </c>
      <c r="G1363" s="2" t="str">
        <f>"4220004560"</f>
        <v>4220004560</v>
      </c>
      <c r="H1363" s="2" t="str">
        <f t="shared" si="415"/>
        <v>001</v>
      </c>
      <c r="I1363" s="2" t="str">
        <f>"4230309"</f>
        <v>4230309</v>
      </c>
      <c r="J1363" s="2">
        <f>89250</f>
        <v>89250</v>
      </c>
      <c r="K1363" s="2" t="str">
        <f t="shared" si="413"/>
        <v>台</v>
      </c>
      <c r="L1363" s="2" t="str">
        <f>"4230309"</f>
        <v>4230309</v>
      </c>
      <c r="M1363" s="2" t="str">
        <f>"4230309"</f>
        <v>4230309</v>
      </c>
    </row>
    <row r="1364" spans="1:13" x14ac:dyDescent="0.15">
      <c r="A1364" s="2" t="str">
        <f t="shared" si="407"/>
        <v>1881110500</v>
      </c>
      <c r="B1364" s="2" t="str">
        <f t="shared" si="408"/>
        <v>佐伯・区政調整</v>
      </c>
      <c r="C1364" s="2" t="str">
        <f>"05ﾃ00602"</f>
        <v>05ﾃ00602</v>
      </c>
      <c r="D1364" s="2" t="str">
        <f>"録音再生機"</f>
        <v>録音再生機</v>
      </c>
      <c r="E1364" s="3" t="str">
        <f>"ティアック　ＭＤ―３０１ＭＫⅡ"</f>
        <v>ティアック　ＭＤ―３０１ＭＫⅡ</v>
      </c>
      <c r="F1364" s="2" t="str">
        <f t="shared" si="414"/>
        <v>０００１</v>
      </c>
      <c r="G1364" s="2" t="str">
        <f>"4130003803"</f>
        <v>4130003803</v>
      </c>
      <c r="H1364" s="2" t="str">
        <f t="shared" si="415"/>
        <v>001</v>
      </c>
      <c r="I1364" s="2" t="str">
        <f>"4140320"</f>
        <v>4140320</v>
      </c>
      <c r="J1364" s="2">
        <f>51135</f>
        <v>51135</v>
      </c>
      <c r="K1364" s="2" t="str">
        <f t="shared" si="413"/>
        <v>台</v>
      </c>
      <c r="L1364" s="2" t="str">
        <f>"4140320"</f>
        <v>4140320</v>
      </c>
      <c r="M1364" s="2" t="str">
        <f>"4140320"</f>
        <v>4140320</v>
      </c>
    </row>
    <row r="1365" spans="1:13" x14ac:dyDescent="0.15">
      <c r="A1365" s="2" t="str">
        <f t="shared" si="407"/>
        <v>1881110500</v>
      </c>
      <c r="B1365" s="2" t="str">
        <f t="shared" si="408"/>
        <v>佐伯・区政調整</v>
      </c>
      <c r="C1365" s="2" t="str">
        <f>"05ﾃ00602"</f>
        <v>05ﾃ00602</v>
      </c>
      <c r="D1365" s="2" t="str">
        <f>"録音再生機"</f>
        <v>録音再生機</v>
      </c>
      <c r="E1365" s="3" t="str">
        <f>"ＴＡＳＣＡＭ　ＳＳ－ＣＤＲ１"</f>
        <v>ＴＡＳＣＡＭ　ＳＳ－ＣＤＲ１</v>
      </c>
      <c r="F1365" s="2" t="str">
        <f t="shared" si="414"/>
        <v>０００１</v>
      </c>
      <c r="G1365" s="2" t="str">
        <f>"4210005576"</f>
        <v>4210005576</v>
      </c>
      <c r="H1365" s="2" t="str">
        <f t="shared" si="415"/>
        <v>001</v>
      </c>
      <c r="I1365" s="2" t="str">
        <f>"4210821"</f>
        <v>4210821</v>
      </c>
      <c r="J1365" s="2">
        <f>92190</f>
        <v>92190</v>
      </c>
      <c r="K1365" s="2" t="str">
        <f t="shared" si="413"/>
        <v>台</v>
      </c>
      <c r="L1365" s="2" t="str">
        <f>"4210821"</f>
        <v>4210821</v>
      </c>
      <c r="M1365" s="2" t="str">
        <f>"4210821"</f>
        <v>4210821</v>
      </c>
    </row>
    <row r="1366" spans="1:13" x14ac:dyDescent="0.15">
      <c r="A1366" s="2" t="str">
        <f t="shared" si="407"/>
        <v>1881110500</v>
      </c>
      <c r="B1366" s="2" t="str">
        <f t="shared" si="408"/>
        <v>佐伯・区政調整</v>
      </c>
      <c r="C1366" s="2" t="str">
        <f>"05ﾃ00602"</f>
        <v>05ﾃ00602</v>
      </c>
      <c r="D1366" s="2" t="str">
        <f>"録音再生機"</f>
        <v>録音再生機</v>
      </c>
      <c r="E1366" s="3" t="str">
        <f>"ＴＡＳＣＡＭ　ＳＳ－ＣＤＲ１"</f>
        <v>ＴＡＳＣＡＭ　ＳＳ－ＣＤＲ１</v>
      </c>
      <c r="F1366" s="2" t="str">
        <f t="shared" si="414"/>
        <v>０００１</v>
      </c>
      <c r="G1366" s="2" t="str">
        <f>"4210005577"</f>
        <v>4210005577</v>
      </c>
      <c r="H1366" s="2" t="str">
        <f t="shared" si="415"/>
        <v>001</v>
      </c>
      <c r="I1366" s="2" t="str">
        <f>"4210821"</f>
        <v>4210821</v>
      </c>
      <c r="J1366" s="2">
        <f>92190</f>
        <v>92190</v>
      </c>
      <c r="K1366" s="2" t="str">
        <f t="shared" si="413"/>
        <v>台</v>
      </c>
      <c r="L1366" s="2" t="str">
        <f>"4210821"</f>
        <v>4210821</v>
      </c>
      <c r="M1366" s="2" t="str">
        <f>"4210821"</f>
        <v>4210821</v>
      </c>
    </row>
    <row r="1367" spans="1:13" x14ac:dyDescent="0.15">
      <c r="A1367" s="2" t="str">
        <f t="shared" si="407"/>
        <v>1881110500</v>
      </c>
      <c r="B1367" s="2" t="str">
        <f t="shared" si="408"/>
        <v>佐伯・区政調整</v>
      </c>
      <c r="C1367" s="2" t="str">
        <f>"05ﾃ00603"</f>
        <v>05ﾃ00603</v>
      </c>
      <c r="D1367" s="2" t="str">
        <f>"カセットテープレコーダー"</f>
        <v>カセットテープレコーダー</v>
      </c>
      <c r="E1367" s="3" t="str">
        <f>"ティアック　ＤＡ－３０"</f>
        <v>ティアック　ＤＡ－３０</v>
      </c>
      <c r="F1367" s="2" t="str">
        <f t="shared" si="414"/>
        <v>０００１</v>
      </c>
      <c r="G1367" s="2" t="str">
        <f>"4050004857"</f>
        <v>4050004857</v>
      </c>
      <c r="H1367" s="2" t="str">
        <f t="shared" si="415"/>
        <v>001</v>
      </c>
      <c r="I1367" s="2" t="str">
        <f t="shared" ref="I1367:I1379" si="416">"4100401"</f>
        <v>4100401</v>
      </c>
      <c r="J1367" s="2">
        <f>152955</f>
        <v>152955</v>
      </c>
      <c r="K1367" s="2" t="str">
        <f t="shared" si="413"/>
        <v>台</v>
      </c>
      <c r="L1367" s="2" t="str">
        <f>"4050601"</f>
        <v>4050601</v>
      </c>
      <c r="M1367" s="2" t="str">
        <f>""</f>
        <v/>
      </c>
    </row>
    <row r="1368" spans="1:13" x14ac:dyDescent="0.15">
      <c r="A1368" s="2" t="str">
        <f t="shared" si="407"/>
        <v>1881110500</v>
      </c>
      <c r="B1368" s="2" t="str">
        <f t="shared" si="408"/>
        <v>佐伯・区政調整</v>
      </c>
      <c r="C1368" s="2" t="str">
        <f>"05ﾃ00603"</f>
        <v>05ﾃ00603</v>
      </c>
      <c r="D1368" s="2" t="str">
        <f>"カセットテープレコーダー"</f>
        <v>カセットテープレコーダー</v>
      </c>
      <c r="E1368" s="3" t="str">
        <f>"ティアック　ＤＡ－３０"</f>
        <v>ティアック　ＤＡ－３０</v>
      </c>
      <c r="F1368" s="2" t="str">
        <f t="shared" si="414"/>
        <v>０００１</v>
      </c>
      <c r="G1368" s="2" t="str">
        <f>"4050004858"</f>
        <v>4050004858</v>
      </c>
      <c r="H1368" s="2" t="str">
        <f t="shared" si="415"/>
        <v>001</v>
      </c>
      <c r="I1368" s="2" t="str">
        <f t="shared" si="416"/>
        <v>4100401</v>
      </c>
      <c r="J1368" s="2">
        <f>152955</f>
        <v>152955</v>
      </c>
      <c r="K1368" s="2" t="str">
        <f t="shared" si="413"/>
        <v>台</v>
      </c>
      <c r="L1368" s="2" t="str">
        <f>"4050601"</f>
        <v>4050601</v>
      </c>
      <c r="M1368" s="2" t="str">
        <f>""</f>
        <v/>
      </c>
    </row>
    <row r="1369" spans="1:13" x14ac:dyDescent="0.15">
      <c r="A1369" s="2" t="str">
        <f t="shared" si="407"/>
        <v>1881110500</v>
      </c>
      <c r="B1369" s="2" t="str">
        <f t="shared" si="408"/>
        <v>佐伯・区政調整</v>
      </c>
      <c r="C1369" s="2" t="str">
        <f t="shared" ref="C1369:C1379" si="417">"05ﾃ01201"</f>
        <v>05ﾃ01201</v>
      </c>
      <c r="D1369" s="2" t="str">
        <f t="shared" ref="D1369:D1379" si="418">"テーブル"</f>
        <v>テーブル</v>
      </c>
      <c r="E1369" s="3" t="str">
        <f t="shared" ref="E1369:E1378" si="419">"会議室用"</f>
        <v>会議室用</v>
      </c>
      <c r="F1369" s="2" t="str">
        <f t="shared" si="414"/>
        <v>０００１</v>
      </c>
      <c r="G1369" s="2" t="str">
        <f>"3620004355"</f>
        <v>3620004355</v>
      </c>
      <c r="H1369" s="2" t="str">
        <f t="shared" si="415"/>
        <v>001</v>
      </c>
      <c r="I1369" s="2" t="str">
        <f t="shared" si="416"/>
        <v>4100401</v>
      </c>
      <c r="J1369" s="2">
        <f>33000</f>
        <v>33000</v>
      </c>
      <c r="K1369" s="2" t="str">
        <f t="shared" si="413"/>
        <v>台</v>
      </c>
      <c r="L1369" s="2" t="str">
        <f t="shared" ref="L1369:L1379" si="420">"3630331"</f>
        <v>3630331</v>
      </c>
      <c r="M1369" s="2" t="str">
        <f>""</f>
        <v/>
      </c>
    </row>
    <row r="1370" spans="1:13" x14ac:dyDescent="0.15">
      <c r="A1370" s="2" t="str">
        <f t="shared" si="407"/>
        <v>1881110500</v>
      </c>
      <c r="B1370" s="2" t="str">
        <f t="shared" si="408"/>
        <v>佐伯・区政調整</v>
      </c>
      <c r="C1370" s="2" t="str">
        <f t="shared" si="417"/>
        <v>05ﾃ01201</v>
      </c>
      <c r="D1370" s="2" t="str">
        <f t="shared" si="418"/>
        <v>テーブル</v>
      </c>
      <c r="E1370" s="3" t="str">
        <f t="shared" si="419"/>
        <v>会議室用</v>
      </c>
      <c r="F1370" s="2" t="str">
        <f t="shared" si="414"/>
        <v>０００１</v>
      </c>
      <c r="G1370" s="2" t="str">
        <f>"3620004356"</f>
        <v>3620004356</v>
      </c>
      <c r="H1370" s="2" t="str">
        <f t="shared" si="415"/>
        <v>001</v>
      </c>
      <c r="I1370" s="2" t="str">
        <f t="shared" si="416"/>
        <v>4100401</v>
      </c>
      <c r="J1370" s="2">
        <f>33000</f>
        <v>33000</v>
      </c>
      <c r="K1370" s="2" t="str">
        <f t="shared" si="413"/>
        <v>台</v>
      </c>
      <c r="L1370" s="2" t="str">
        <f t="shared" si="420"/>
        <v>3630331</v>
      </c>
      <c r="M1370" s="2" t="str">
        <f>""</f>
        <v/>
      </c>
    </row>
    <row r="1371" spans="1:13" x14ac:dyDescent="0.15">
      <c r="A1371" s="2" t="str">
        <f t="shared" si="407"/>
        <v>1881110500</v>
      </c>
      <c r="B1371" s="2" t="str">
        <f t="shared" si="408"/>
        <v>佐伯・区政調整</v>
      </c>
      <c r="C1371" s="2" t="str">
        <f t="shared" si="417"/>
        <v>05ﾃ01201</v>
      </c>
      <c r="D1371" s="2" t="str">
        <f t="shared" si="418"/>
        <v>テーブル</v>
      </c>
      <c r="E1371" s="3" t="str">
        <f t="shared" si="419"/>
        <v>会議室用</v>
      </c>
      <c r="F1371" s="2" t="str">
        <f t="shared" si="414"/>
        <v>０００１</v>
      </c>
      <c r="G1371" s="2" t="str">
        <f>"3620004357"</f>
        <v>3620004357</v>
      </c>
      <c r="H1371" s="2" t="str">
        <f t="shared" si="415"/>
        <v>001</v>
      </c>
      <c r="I1371" s="2" t="str">
        <f t="shared" si="416"/>
        <v>4100401</v>
      </c>
      <c r="J1371" s="2">
        <f>33000</f>
        <v>33000</v>
      </c>
      <c r="K1371" s="2" t="str">
        <f t="shared" si="413"/>
        <v>台</v>
      </c>
      <c r="L1371" s="2" t="str">
        <f t="shared" si="420"/>
        <v>3630331</v>
      </c>
      <c r="M1371" s="2" t="str">
        <f>""</f>
        <v/>
      </c>
    </row>
    <row r="1372" spans="1:13" x14ac:dyDescent="0.15">
      <c r="A1372" s="2" t="str">
        <f t="shared" si="407"/>
        <v>1881110500</v>
      </c>
      <c r="B1372" s="2" t="str">
        <f t="shared" si="408"/>
        <v>佐伯・区政調整</v>
      </c>
      <c r="C1372" s="2" t="str">
        <f t="shared" si="417"/>
        <v>05ﾃ01201</v>
      </c>
      <c r="D1372" s="2" t="str">
        <f t="shared" si="418"/>
        <v>テーブル</v>
      </c>
      <c r="E1372" s="3" t="str">
        <f t="shared" si="419"/>
        <v>会議室用</v>
      </c>
      <c r="F1372" s="2" t="str">
        <f t="shared" si="414"/>
        <v>０００１</v>
      </c>
      <c r="G1372" s="2" t="str">
        <f>"3620004358"</f>
        <v>3620004358</v>
      </c>
      <c r="H1372" s="2" t="str">
        <f t="shared" si="415"/>
        <v>001</v>
      </c>
      <c r="I1372" s="2" t="str">
        <f t="shared" si="416"/>
        <v>4100401</v>
      </c>
      <c r="J1372" s="2">
        <f>33000</f>
        <v>33000</v>
      </c>
      <c r="K1372" s="2" t="str">
        <f t="shared" si="413"/>
        <v>台</v>
      </c>
      <c r="L1372" s="2" t="str">
        <f t="shared" si="420"/>
        <v>3630331</v>
      </c>
      <c r="M1372" s="2" t="str">
        <f>""</f>
        <v/>
      </c>
    </row>
    <row r="1373" spans="1:13" x14ac:dyDescent="0.15">
      <c r="A1373" s="2" t="str">
        <f t="shared" si="407"/>
        <v>1881110500</v>
      </c>
      <c r="B1373" s="2" t="str">
        <f t="shared" si="408"/>
        <v>佐伯・区政調整</v>
      </c>
      <c r="C1373" s="2" t="str">
        <f t="shared" si="417"/>
        <v>05ﾃ01201</v>
      </c>
      <c r="D1373" s="2" t="str">
        <f t="shared" si="418"/>
        <v>テーブル</v>
      </c>
      <c r="E1373" s="3" t="str">
        <f t="shared" si="419"/>
        <v>会議室用</v>
      </c>
      <c r="F1373" s="2" t="str">
        <f t="shared" si="414"/>
        <v>０００１</v>
      </c>
      <c r="G1373" s="2" t="str">
        <f>"3620004359"</f>
        <v>3620004359</v>
      </c>
      <c r="H1373" s="2" t="str">
        <f t="shared" si="415"/>
        <v>001</v>
      </c>
      <c r="I1373" s="2" t="str">
        <f t="shared" si="416"/>
        <v>4100401</v>
      </c>
      <c r="J1373" s="2">
        <f>33000</f>
        <v>33000</v>
      </c>
      <c r="K1373" s="2" t="str">
        <f t="shared" si="413"/>
        <v>台</v>
      </c>
      <c r="L1373" s="2" t="str">
        <f t="shared" si="420"/>
        <v>3630331</v>
      </c>
      <c r="M1373" s="2" t="str">
        <f>""</f>
        <v/>
      </c>
    </row>
    <row r="1374" spans="1:13" x14ac:dyDescent="0.15">
      <c r="A1374" s="2" t="str">
        <f t="shared" si="407"/>
        <v>1881110500</v>
      </c>
      <c r="B1374" s="2" t="str">
        <f t="shared" si="408"/>
        <v>佐伯・区政調整</v>
      </c>
      <c r="C1374" s="2" t="str">
        <f t="shared" si="417"/>
        <v>05ﾃ01201</v>
      </c>
      <c r="D1374" s="2" t="str">
        <f t="shared" si="418"/>
        <v>テーブル</v>
      </c>
      <c r="E1374" s="3" t="str">
        <f t="shared" si="419"/>
        <v>会議室用</v>
      </c>
      <c r="F1374" s="2" t="str">
        <f t="shared" si="414"/>
        <v>０００１</v>
      </c>
      <c r="G1374" s="2" t="str">
        <f>"3620004360"</f>
        <v>3620004360</v>
      </c>
      <c r="H1374" s="2" t="str">
        <f t="shared" si="415"/>
        <v>001</v>
      </c>
      <c r="I1374" s="2" t="str">
        <f t="shared" si="416"/>
        <v>4100401</v>
      </c>
      <c r="J1374" s="2">
        <f>33000</f>
        <v>33000</v>
      </c>
      <c r="K1374" s="2" t="str">
        <f t="shared" si="413"/>
        <v>台</v>
      </c>
      <c r="L1374" s="2" t="str">
        <f t="shared" si="420"/>
        <v>3630331</v>
      </c>
      <c r="M1374" s="2" t="str">
        <f>""</f>
        <v/>
      </c>
    </row>
    <row r="1375" spans="1:13" x14ac:dyDescent="0.15">
      <c r="A1375" s="2" t="str">
        <f t="shared" si="407"/>
        <v>1881110500</v>
      </c>
      <c r="B1375" s="2" t="str">
        <f t="shared" si="408"/>
        <v>佐伯・区政調整</v>
      </c>
      <c r="C1375" s="2" t="str">
        <f t="shared" si="417"/>
        <v>05ﾃ01201</v>
      </c>
      <c r="D1375" s="2" t="str">
        <f t="shared" si="418"/>
        <v>テーブル</v>
      </c>
      <c r="E1375" s="3" t="str">
        <f t="shared" si="419"/>
        <v>会議室用</v>
      </c>
      <c r="F1375" s="2" t="str">
        <f t="shared" si="414"/>
        <v>０００１</v>
      </c>
      <c r="G1375" s="2" t="str">
        <f>"3620004361"</f>
        <v>3620004361</v>
      </c>
      <c r="H1375" s="2" t="str">
        <f t="shared" si="415"/>
        <v>001</v>
      </c>
      <c r="I1375" s="2" t="str">
        <f t="shared" si="416"/>
        <v>4100401</v>
      </c>
      <c r="J1375" s="2">
        <f>33000</f>
        <v>33000</v>
      </c>
      <c r="K1375" s="2" t="str">
        <f t="shared" si="413"/>
        <v>台</v>
      </c>
      <c r="L1375" s="2" t="str">
        <f t="shared" si="420"/>
        <v>3630331</v>
      </c>
      <c r="M1375" s="2" t="str">
        <f>""</f>
        <v/>
      </c>
    </row>
    <row r="1376" spans="1:13" x14ac:dyDescent="0.15">
      <c r="A1376" s="2" t="str">
        <f t="shared" si="407"/>
        <v>1881110500</v>
      </c>
      <c r="B1376" s="2" t="str">
        <f t="shared" si="408"/>
        <v>佐伯・区政調整</v>
      </c>
      <c r="C1376" s="2" t="str">
        <f t="shared" si="417"/>
        <v>05ﾃ01201</v>
      </c>
      <c r="D1376" s="2" t="str">
        <f t="shared" si="418"/>
        <v>テーブル</v>
      </c>
      <c r="E1376" s="3" t="str">
        <f t="shared" si="419"/>
        <v>会議室用</v>
      </c>
      <c r="F1376" s="2" t="str">
        <f t="shared" si="414"/>
        <v>０００１</v>
      </c>
      <c r="G1376" s="2" t="str">
        <f>"3620004362"</f>
        <v>3620004362</v>
      </c>
      <c r="H1376" s="2" t="str">
        <f t="shared" si="415"/>
        <v>001</v>
      </c>
      <c r="I1376" s="2" t="str">
        <f t="shared" si="416"/>
        <v>4100401</v>
      </c>
      <c r="J1376" s="2">
        <f>33000</f>
        <v>33000</v>
      </c>
      <c r="K1376" s="2" t="str">
        <f t="shared" si="413"/>
        <v>台</v>
      </c>
      <c r="L1376" s="2" t="str">
        <f t="shared" si="420"/>
        <v>3630331</v>
      </c>
      <c r="M1376" s="2" t="str">
        <f>""</f>
        <v/>
      </c>
    </row>
    <row r="1377" spans="1:13" x14ac:dyDescent="0.15">
      <c r="A1377" s="2" t="str">
        <f t="shared" si="407"/>
        <v>1881110500</v>
      </c>
      <c r="B1377" s="2" t="str">
        <f t="shared" si="408"/>
        <v>佐伯・区政調整</v>
      </c>
      <c r="C1377" s="2" t="str">
        <f t="shared" si="417"/>
        <v>05ﾃ01201</v>
      </c>
      <c r="D1377" s="2" t="str">
        <f t="shared" si="418"/>
        <v>テーブル</v>
      </c>
      <c r="E1377" s="3" t="str">
        <f t="shared" si="419"/>
        <v>会議室用</v>
      </c>
      <c r="F1377" s="2" t="str">
        <f t="shared" si="414"/>
        <v>０００１</v>
      </c>
      <c r="G1377" s="2" t="str">
        <f>"3620004364"</f>
        <v>3620004364</v>
      </c>
      <c r="H1377" s="2" t="str">
        <f t="shared" si="415"/>
        <v>001</v>
      </c>
      <c r="I1377" s="2" t="str">
        <f t="shared" si="416"/>
        <v>4100401</v>
      </c>
      <c r="J1377" s="2">
        <f>33000</f>
        <v>33000</v>
      </c>
      <c r="K1377" s="2" t="str">
        <f t="shared" si="413"/>
        <v>台</v>
      </c>
      <c r="L1377" s="2" t="str">
        <f t="shared" si="420"/>
        <v>3630331</v>
      </c>
      <c r="M1377" s="2" t="str">
        <f>""</f>
        <v/>
      </c>
    </row>
    <row r="1378" spans="1:13" x14ac:dyDescent="0.15">
      <c r="A1378" s="2" t="str">
        <f t="shared" si="407"/>
        <v>1881110500</v>
      </c>
      <c r="B1378" s="2" t="str">
        <f t="shared" si="408"/>
        <v>佐伯・区政調整</v>
      </c>
      <c r="C1378" s="2" t="str">
        <f t="shared" si="417"/>
        <v>05ﾃ01201</v>
      </c>
      <c r="D1378" s="2" t="str">
        <f t="shared" si="418"/>
        <v>テーブル</v>
      </c>
      <c r="E1378" s="3" t="str">
        <f t="shared" si="419"/>
        <v>会議室用</v>
      </c>
      <c r="F1378" s="2" t="str">
        <f t="shared" si="414"/>
        <v>０００１</v>
      </c>
      <c r="G1378" s="2" t="str">
        <f>"3620004365"</f>
        <v>3620004365</v>
      </c>
      <c r="H1378" s="2" t="str">
        <f t="shared" si="415"/>
        <v>001</v>
      </c>
      <c r="I1378" s="2" t="str">
        <f t="shared" si="416"/>
        <v>4100401</v>
      </c>
      <c r="J1378" s="2">
        <f>22900</f>
        <v>22900</v>
      </c>
      <c r="K1378" s="2" t="str">
        <f t="shared" si="413"/>
        <v>台</v>
      </c>
      <c r="L1378" s="2" t="str">
        <f t="shared" si="420"/>
        <v>3630331</v>
      </c>
      <c r="M1378" s="2" t="str">
        <f>""</f>
        <v/>
      </c>
    </row>
    <row r="1379" spans="1:13" x14ac:dyDescent="0.15">
      <c r="A1379" s="2" t="str">
        <f t="shared" si="407"/>
        <v>1881110500</v>
      </c>
      <c r="B1379" s="2" t="str">
        <f t="shared" si="408"/>
        <v>佐伯・区政調整</v>
      </c>
      <c r="C1379" s="2" t="str">
        <f t="shared" si="417"/>
        <v>05ﾃ01201</v>
      </c>
      <c r="D1379" s="2" t="str">
        <f t="shared" si="418"/>
        <v>テーブル</v>
      </c>
      <c r="E1379" s="3" t="str">
        <f>"ガーデンテーブル"</f>
        <v>ガーデンテーブル</v>
      </c>
      <c r="F1379" s="2" t="str">
        <f t="shared" si="414"/>
        <v>０００１</v>
      </c>
      <c r="G1379" s="2" t="str">
        <f>"3620004366"</f>
        <v>3620004366</v>
      </c>
      <c r="H1379" s="2" t="str">
        <f t="shared" si="415"/>
        <v>001</v>
      </c>
      <c r="I1379" s="2" t="str">
        <f t="shared" si="416"/>
        <v>4100401</v>
      </c>
      <c r="J1379" s="2">
        <f>22900</f>
        <v>22900</v>
      </c>
      <c r="K1379" s="2" t="str">
        <f t="shared" si="413"/>
        <v>台</v>
      </c>
      <c r="L1379" s="2" t="str">
        <f t="shared" si="420"/>
        <v>3630331</v>
      </c>
      <c r="M1379" s="2" t="str">
        <f>""</f>
        <v/>
      </c>
    </row>
    <row r="1380" spans="1:13" x14ac:dyDescent="0.15">
      <c r="A1380" s="2" t="str">
        <f t="shared" si="407"/>
        <v>1881110500</v>
      </c>
      <c r="B1380" s="2" t="str">
        <f t="shared" si="408"/>
        <v>佐伯・区政調整</v>
      </c>
      <c r="C1380" s="2" t="str">
        <f>"05ﾄ00101"</f>
        <v>05ﾄ00101</v>
      </c>
      <c r="D1380" s="2" t="str">
        <f>"緞帳"</f>
        <v>緞帳</v>
      </c>
      <c r="E1380" s="3" t="str">
        <f>"一式"</f>
        <v>一式</v>
      </c>
      <c r="F1380" s="2" t="str">
        <f t="shared" ref="F1380:F1395" si="421">"０００１"</f>
        <v>０００１</v>
      </c>
      <c r="G1380" s="2" t="str">
        <f>"3620004367"</f>
        <v>3620004367</v>
      </c>
      <c r="H1380" s="2" t="str">
        <f t="shared" ref="H1380:H1388" si="422">"001"</f>
        <v>001</v>
      </c>
      <c r="I1380" s="2" t="str">
        <f t="shared" ref="I1380:I1388" si="423">"4100401"</f>
        <v>4100401</v>
      </c>
      <c r="J1380" s="2">
        <f>168000</f>
        <v>168000</v>
      </c>
      <c r="K1380" s="2" t="str">
        <f>"張"</f>
        <v>張</v>
      </c>
      <c r="L1380" s="2" t="str">
        <f>"3630331"</f>
        <v>3630331</v>
      </c>
      <c r="M1380" s="2" t="str">
        <f>""</f>
        <v/>
      </c>
    </row>
    <row r="1381" spans="1:13" x14ac:dyDescent="0.15">
      <c r="A1381" s="2" t="str">
        <f t="shared" si="407"/>
        <v>1881110500</v>
      </c>
      <c r="B1381" s="2" t="str">
        <f t="shared" si="408"/>
        <v>佐伯・区政調整</v>
      </c>
      <c r="C1381" s="2" t="str">
        <f>"05ﾄ00101"</f>
        <v>05ﾄ00101</v>
      </c>
      <c r="D1381" s="2" t="str">
        <f>"緞帳"</f>
        <v>緞帳</v>
      </c>
      <c r="E1381" s="3" t="str">
        <f>"一式"</f>
        <v>一式</v>
      </c>
      <c r="F1381" s="2" t="str">
        <f t="shared" si="421"/>
        <v>０００１</v>
      </c>
      <c r="G1381" s="2" t="str">
        <f>"3630009302"</f>
        <v>3630009302</v>
      </c>
      <c r="H1381" s="2" t="str">
        <f t="shared" si="422"/>
        <v>001</v>
      </c>
      <c r="I1381" s="2" t="str">
        <f t="shared" si="423"/>
        <v>4100401</v>
      </c>
      <c r="J1381" s="2">
        <f>17000000</f>
        <v>17000000</v>
      </c>
      <c r="K1381" s="2" t="str">
        <f>"張"</f>
        <v>張</v>
      </c>
      <c r="L1381" s="2" t="str">
        <f>"3630419"</f>
        <v>3630419</v>
      </c>
      <c r="M1381" s="2" t="str">
        <f>""</f>
        <v/>
      </c>
    </row>
    <row r="1382" spans="1:13" x14ac:dyDescent="0.15">
      <c r="A1382" s="2" t="str">
        <f t="shared" si="407"/>
        <v>1881110500</v>
      </c>
      <c r="B1382" s="2" t="str">
        <f t="shared" si="408"/>
        <v>佐伯・区政調整</v>
      </c>
      <c r="C1382" s="2" t="str">
        <f>"05ﾋ00101"</f>
        <v>05ﾋ00101</v>
      </c>
      <c r="D1382" s="2" t="str">
        <f>"びょうぶ"</f>
        <v>びょうぶ</v>
      </c>
      <c r="E1382" s="3" t="str">
        <f>"６曲金びょうぶ"</f>
        <v>６曲金びょうぶ</v>
      </c>
      <c r="F1382" s="2" t="str">
        <f t="shared" si="421"/>
        <v>０００１</v>
      </c>
      <c r="G1382" s="2" t="str">
        <f>"3620004368"</f>
        <v>3620004368</v>
      </c>
      <c r="H1382" s="2" t="str">
        <f t="shared" si="422"/>
        <v>001</v>
      </c>
      <c r="I1382" s="2" t="str">
        <f t="shared" si="423"/>
        <v>4100401</v>
      </c>
      <c r="J1382" s="2">
        <f>402600</f>
        <v>402600</v>
      </c>
      <c r="K1382" s="2" t="str">
        <f>"双"</f>
        <v>双</v>
      </c>
      <c r="L1382" s="2" t="str">
        <f>"3630331"</f>
        <v>3630331</v>
      </c>
      <c r="M1382" s="2" t="str">
        <f>""</f>
        <v/>
      </c>
    </row>
    <row r="1383" spans="1:13" x14ac:dyDescent="0.15">
      <c r="A1383" s="2" t="str">
        <f t="shared" si="407"/>
        <v>1881110500</v>
      </c>
      <c r="B1383" s="2" t="str">
        <f t="shared" si="408"/>
        <v>佐伯・区政調整</v>
      </c>
      <c r="C1383" s="2" t="str">
        <f>"05ﾋ00301"</f>
        <v>05ﾋ00301</v>
      </c>
      <c r="D1383" s="2" t="str">
        <f>"標示板"</f>
        <v>標示板</v>
      </c>
      <c r="E1383" s="3" t="str">
        <f>"喫煙コーナー看板"</f>
        <v>喫煙コーナー看板</v>
      </c>
      <c r="F1383" s="2" t="str">
        <f t="shared" si="421"/>
        <v>０００１</v>
      </c>
      <c r="G1383" s="2" t="str">
        <f>"4060004492"</f>
        <v>4060004492</v>
      </c>
      <c r="H1383" s="2" t="str">
        <f t="shared" si="422"/>
        <v>001</v>
      </c>
      <c r="I1383" s="2" t="str">
        <f t="shared" si="423"/>
        <v>4100401</v>
      </c>
      <c r="J1383" s="2">
        <f>47380</f>
        <v>47380</v>
      </c>
      <c r="K1383" s="2" t="str">
        <f t="shared" ref="K1383:K1386" si="424">"個"</f>
        <v>個</v>
      </c>
      <c r="L1383" s="2" t="str">
        <f>"4060722"</f>
        <v>4060722</v>
      </c>
      <c r="M1383" s="2" t="str">
        <f>"4060722"</f>
        <v>4060722</v>
      </c>
    </row>
    <row r="1384" spans="1:13" x14ac:dyDescent="0.15">
      <c r="A1384" s="2" t="str">
        <f t="shared" si="407"/>
        <v>1881110500</v>
      </c>
      <c r="B1384" s="2" t="str">
        <f t="shared" si="408"/>
        <v>佐伯・区政調整</v>
      </c>
      <c r="C1384" s="2" t="str">
        <f>"05ﾌ02401"</f>
        <v>05ﾌ02401</v>
      </c>
      <c r="D1384" s="2" t="str">
        <f>"踏台"</f>
        <v>踏台</v>
      </c>
      <c r="E1384" s="3" t="str">
        <f>"ステージ階段"</f>
        <v>ステージ階段</v>
      </c>
      <c r="F1384" s="2" t="str">
        <f t="shared" si="421"/>
        <v>０００１</v>
      </c>
      <c r="G1384" s="2" t="str">
        <f>"3620004369"</f>
        <v>3620004369</v>
      </c>
      <c r="H1384" s="2" t="str">
        <f t="shared" si="422"/>
        <v>001</v>
      </c>
      <c r="I1384" s="2" t="str">
        <f t="shared" si="423"/>
        <v>4100401</v>
      </c>
      <c r="J1384" s="2">
        <f>30000</f>
        <v>30000</v>
      </c>
      <c r="K1384" s="2" t="str">
        <f t="shared" si="424"/>
        <v>個</v>
      </c>
      <c r="L1384" s="2" t="str">
        <f>"3630331"</f>
        <v>3630331</v>
      </c>
      <c r="M1384" s="2" t="str">
        <f>""</f>
        <v/>
      </c>
    </row>
    <row r="1385" spans="1:13" x14ac:dyDescent="0.15">
      <c r="A1385" s="2" t="str">
        <f t="shared" si="407"/>
        <v>1881110500</v>
      </c>
      <c r="B1385" s="2" t="str">
        <f t="shared" si="408"/>
        <v>佐伯・区政調整</v>
      </c>
      <c r="C1385" s="2" t="str">
        <f>"05ﾌ02401"</f>
        <v>05ﾌ02401</v>
      </c>
      <c r="D1385" s="2" t="str">
        <f>"踏台"</f>
        <v>踏台</v>
      </c>
      <c r="E1385" s="3" t="str">
        <f>"ステージ階段"</f>
        <v>ステージ階段</v>
      </c>
      <c r="F1385" s="2" t="str">
        <f t="shared" si="421"/>
        <v>０００１</v>
      </c>
      <c r="G1385" s="2" t="str">
        <f>"3620004370"</f>
        <v>3620004370</v>
      </c>
      <c r="H1385" s="2" t="str">
        <f t="shared" si="422"/>
        <v>001</v>
      </c>
      <c r="I1385" s="2" t="str">
        <f t="shared" si="423"/>
        <v>4100401</v>
      </c>
      <c r="J1385" s="2">
        <f>30000</f>
        <v>30000</v>
      </c>
      <c r="K1385" s="2" t="str">
        <f t="shared" si="424"/>
        <v>個</v>
      </c>
      <c r="L1385" s="2" t="str">
        <f>"3630331"</f>
        <v>3630331</v>
      </c>
      <c r="M1385" s="2" t="str">
        <f>""</f>
        <v/>
      </c>
    </row>
    <row r="1386" spans="1:13" x14ac:dyDescent="0.15">
      <c r="A1386" s="2" t="str">
        <f t="shared" si="407"/>
        <v>1881110500</v>
      </c>
      <c r="B1386" s="2" t="str">
        <f t="shared" si="408"/>
        <v>佐伯・区政調整</v>
      </c>
      <c r="C1386" s="2" t="str">
        <f>"05ﾌ02401"</f>
        <v>05ﾌ02401</v>
      </c>
      <c r="D1386" s="2" t="str">
        <f>"踏台"</f>
        <v>踏台</v>
      </c>
      <c r="E1386" s="3" t="str">
        <f>"ステージ階段"</f>
        <v>ステージ階段</v>
      </c>
      <c r="F1386" s="2" t="str">
        <f t="shared" si="421"/>
        <v>０００１</v>
      </c>
      <c r="G1386" s="2" t="str">
        <f>"3620004371"</f>
        <v>3620004371</v>
      </c>
      <c r="H1386" s="2" t="str">
        <f t="shared" si="422"/>
        <v>001</v>
      </c>
      <c r="I1386" s="2" t="str">
        <f t="shared" si="423"/>
        <v>4100401</v>
      </c>
      <c r="J1386" s="2">
        <f>30000</f>
        <v>30000</v>
      </c>
      <c r="K1386" s="2" t="str">
        <f t="shared" si="424"/>
        <v>個</v>
      </c>
      <c r="L1386" s="2" t="str">
        <f>"3630331"</f>
        <v>3630331</v>
      </c>
      <c r="M1386" s="2" t="str">
        <f>""</f>
        <v/>
      </c>
    </row>
    <row r="1387" spans="1:13" x14ac:dyDescent="0.15">
      <c r="A1387" s="2" t="str">
        <f t="shared" si="407"/>
        <v>1881110500</v>
      </c>
      <c r="B1387" s="2" t="str">
        <f t="shared" si="408"/>
        <v>佐伯・区政調整</v>
      </c>
      <c r="C1387" s="2" t="str">
        <f>"05ﾌ02501"</f>
        <v>05ﾌ02501</v>
      </c>
      <c r="D1387" s="2" t="str">
        <f>"譜面台"</f>
        <v>譜面台</v>
      </c>
      <c r="E1387" s="3" t="str">
        <f>"指揮者用譜面台"</f>
        <v>指揮者用譜面台</v>
      </c>
      <c r="F1387" s="2" t="str">
        <f t="shared" si="421"/>
        <v>０００１</v>
      </c>
      <c r="G1387" s="2" t="str">
        <f>"3620004372"</f>
        <v>3620004372</v>
      </c>
      <c r="H1387" s="2" t="str">
        <f t="shared" si="422"/>
        <v>001</v>
      </c>
      <c r="I1387" s="2" t="str">
        <f t="shared" si="423"/>
        <v>4100401</v>
      </c>
      <c r="J1387" s="2">
        <f>39800</f>
        <v>39800</v>
      </c>
      <c r="K1387" s="2" t="str">
        <f>"台"</f>
        <v>台</v>
      </c>
      <c r="L1387" s="2" t="str">
        <f>"3630331"</f>
        <v>3630331</v>
      </c>
      <c r="M1387" s="2" t="str">
        <f>""</f>
        <v/>
      </c>
    </row>
    <row r="1388" spans="1:13" x14ac:dyDescent="0.15">
      <c r="A1388" s="2" t="str">
        <f t="shared" si="407"/>
        <v>1881110500</v>
      </c>
      <c r="B1388" s="2" t="str">
        <f t="shared" si="408"/>
        <v>佐伯・区政調整</v>
      </c>
      <c r="C1388" s="2" t="str">
        <f t="shared" ref="C1388" si="425">"05ﾏ00301"</f>
        <v>05ﾏ00301</v>
      </c>
      <c r="D1388" s="2" t="str">
        <f t="shared" ref="D1388" si="426">"間仕切"</f>
        <v>間仕切</v>
      </c>
      <c r="E1388" s="3" t="str">
        <f>"ライオン　ナックＳⅡ型"</f>
        <v>ライオン　ナックＳⅡ型</v>
      </c>
      <c r="F1388" s="2" t="str">
        <f t="shared" si="421"/>
        <v>０００１</v>
      </c>
      <c r="G1388" s="2" t="str">
        <f>"4020007920"</f>
        <v>4020007920</v>
      </c>
      <c r="H1388" s="2" t="str">
        <f t="shared" si="422"/>
        <v>001</v>
      </c>
      <c r="I1388" s="2" t="str">
        <f t="shared" si="423"/>
        <v>4100401</v>
      </c>
      <c r="J1388" s="2">
        <f>173040</f>
        <v>173040</v>
      </c>
      <c r="K1388" s="2" t="str">
        <f>"枚"</f>
        <v>枚</v>
      </c>
      <c r="L1388" s="2" t="str">
        <f>"4020716"</f>
        <v>4020716</v>
      </c>
      <c r="M1388" s="2" t="str">
        <f>"4020716"</f>
        <v>4020716</v>
      </c>
    </row>
    <row r="1389" spans="1:13" ht="14.25" customHeight="1" x14ac:dyDescent="0.15">
      <c r="A1389" s="2" t="str">
        <f t="shared" ref="A1389:A1402" si="427">"1881110500"</f>
        <v>1881110500</v>
      </c>
      <c r="B1389" s="2" t="str">
        <f t="shared" ref="B1389:B1402" si="428">"佐伯・区政調整"</f>
        <v>佐伯・区政調整</v>
      </c>
      <c r="C1389" s="2" t="str">
        <f t="shared" ref="C1389:C1392" si="429">"05ﾐ00101"</f>
        <v>05ﾐ00101</v>
      </c>
      <c r="D1389" s="2" t="str">
        <f t="shared" ref="D1389:D1392" si="430">"水屋"</f>
        <v>水屋</v>
      </c>
      <c r="E1389" s="3" t="str">
        <f>"４４６×４４７×１９２０"</f>
        <v>４４６×４４７×１９２０</v>
      </c>
      <c r="F1389" s="2" t="str">
        <f t="shared" si="421"/>
        <v>０００１</v>
      </c>
      <c r="G1389" s="2" t="str">
        <f>"3620004373"</f>
        <v>3620004373</v>
      </c>
      <c r="H1389" s="2" t="str">
        <f t="shared" ref="H1389:H1394" si="431">"001"</f>
        <v>001</v>
      </c>
      <c r="I1389" s="2" t="str">
        <f t="shared" ref="I1389:I1392" si="432">"4100401"</f>
        <v>4100401</v>
      </c>
      <c r="J1389" s="2">
        <f>49000</f>
        <v>49000</v>
      </c>
      <c r="K1389" s="2" t="str">
        <f t="shared" ref="K1389:K1392" si="433">"個"</f>
        <v>個</v>
      </c>
      <c r="L1389" s="2" t="str">
        <f>"3630331"</f>
        <v>3630331</v>
      </c>
      <c r="M1389" s="2" t="str">
        <f>""</f>
        <v/>
      </c>
    </row>
    <row r="1390" spans="1:13" ht="14.25" customHeight="1" x14ac:dyDescent="0.15">
      <c r="A1390" s="2" t="str">
        <f t="shared" si="427"/>
        <v>1881110500</v>
      </c>
      <c r="B1390" s="2" t="str">
        <f t="shared" si="428"/>
        <v>佐伯・区政調整</v>
      </c>
      <c r="C1390" s="2" t="str">
        <f t="shared" si="429"/>
        <v>05ﾐ00101</v>
      </c>
      <c r="D1390" s="2" t="str">
        <f t="shared" si="430"/>
        <v>水屋</v>
      </c>
      <c r="E1390" s="3" t="str">
        <f>"４４６×４４７×１９２０"</f>
        <v>４４６×４４７×１９２０</v>
      </c>
      <c r="F1390" s="2" t="str">
        <f t="shared" si="421"/>
        <v>０００１</v>
      </c>
      <c r="G1390" s="2" t="str">
        <f>"3620004374"</f>
        <v>3620004374</v>
      </c>
      <c r="H1390" s="2" t="str">
        <f t="shared" si="431"/>
        <v>001</v>
      </c>
      <c r="I1390" s="2" t="str">
        <f t="shared" si="432"/>
        <v>4100401</v>
      </c>
      <c r="J1390" s="2">
        <f>49000</f>
        <v>49000</v>
      </c>
      <c r="K1390" s="2" t="str">
        <f t="shared" si="433"/>
        <v>個</v>
      </c>
      <c r="L1390" s="2" t="str">
        <f>"3630331"</f>
        <v>3630331</v>
      </c>
      <c r="M1390" s="2" t="str">
        <f>""</f>
        <v/>
      </c>
    </row>
    <row r="1391" spans="1:13" ht="14.25" customHeight="1" x14ac:dyDescent="0.15">
      <c r="A1391" s="2" t="str">
        <f t="shared" si="427"/>
        <v>1881110500</v>
      </c>
      <c r="B1391" s="2" t="str">
        <f t="shared" si="428"/>
        <v>佐伯・区政調整</v>
      </c>
      <c r="C1391" s="2" t="str">
        <f t="shared" si="429"/>
        <v>05ﾐ00101</v>
      </c>
      <c r="D1391" s="2" t="str">
        <f t="shared" si="430"/>
        <v>水屋</v>
      </c>
      <c r="E1391" s="3" t="str">
        <f>"４４６×４４７×１９２０"</f>
        <v>４４６×４４７×１９２０</v>
      </c>
      <c r="F1391" s="2" t="str">
        <f t="shared" si="421"/>
        <v>０００１</v>
      </c>
      <c r="G1391" s="2" t="str">
        <f>"3620004375"</f>
        <v>3620004375</v>
      </c>
      <c r="H1391" s="2" t="str">
        <f t="shared" si="431"/>
        <v>001</v>
      </c>
      <c r="I1391" s="2" t="str">
        <f t="shared" si="432"/>
        <v>4100401</v>
      </c>
      <c r="J1391" s="2">
        <f>49000</f>
        <v>49000</v>
      </c>
      <c r="K1391" s="2" t="str">
        <f t="shared" si="433"/>
        <v>個</v>
      </c>
      <c r="L1391" s="2" t="str">
        <f>"3630331"</f>
        <v>3630331</v>
      </c>
      <c r="M1391" s="2" t="str">
        <f>""</f>
        <v/>
      </c>
    </row>
    <row r="1392" spans="1:13" ht="14.25" customHeight="1" x14ac:dyDescent="0.15">
      <c r="A1392" s="2" t="str">
        <f t="shared" si="427"/>
        <v>1881110500</v>
      </c>
      <c r="B1392" s="2" t="str">
        <f t="shared" si="428"/>
        <v>佐伯・区政調整</v>
      </c>
      <c r="C1392" s="2" t="str">
        <f t="shared" si="429"/>
        <v>05ﾐ00101</v>
      </c>
      <c r="D1392" s="2" t="str">
        <f t="shared" si="430"/>
        <v>水屋</v>
      </c>
      <c r="E1392" s="3" t="str">
        <f>"８９０×４４７×１９２０"</f>
        <v>８９０×４４７×１９２０</v>
      </c>
      <c r="F1392" s="2" t="str">
        <f t="shared" si="421"/>
        <v>０００１</v>
      </c>
      <c r="G1392" s="2" t="str">
        <f>"3620004376"</f>
        <v>3620004376</v>
      </c>
      <c r="H1392" s="2" t="str">
        <f t="shared" si="431"/>
        <v>001</v>
      </c>
      <c r="I1392" s="2" t="str">
        <f t="shared" si="432"/>
        <v>4100401</v>
      </c>
      <c r="J1392" s="2">
        <f>84000</f>
        <v>84000</v>
      </c>
      <c r="K1392" s="2" t="str">
        <f t="shared" si="433"/>
        <v>個</v>
      </c>
      <c r="L1392" s="2" t="str">
        <f>"3630331"</f>
        <v>3630331</v>
      </c>
      <c r="M1392" s="2" t="str">
        <f>""</f>
        <v/>
      </c>
    </row>
    <row r="1393" spans="1:13" ht="14.25" customHeight="1" x14ac:dyDescent="0.15">
      <c r="A1393" s="2" t="str">
        <f t="shared" si="427"/>
        <v>1881110500</v>
      </c>
      <c r="B1393" s="2" t="str">
        <f t="shared" si="428"/>
        <v>佐伯・区政調整</v>
      </c>
      <c r="C1393" s="2" t="str">
        <f>"05ﾐ00501"</f>
        <v>05ﾐ00501</v>
      </c>
      <c r="D1393" s="2" t="str">
        <f>"ミラーボール"</f>
        <v>ミラーボール</v>
      </c>
      <c r="E1393" s="3" t="str">
        <f>"ＴＯＳＨＩＢＡ　ＡＬ－ＭＢ－４５０―Ｒ"</f>
        <v>ＴＯＳＨＩＢＡ　ＡＬ－ＭＢ－４５０―Ｒ</v>
      </c>
      <c r="F1393" s="2" t="str">
        <f t="shared" si="421"/>
        <v>０００１</v>
      </c>
      <c r="G1393" s="2" t="str">
        <f>"4280003683"</f>
        <v>4280003683</v>
      </c>
      <c r="H1393" s="2" t="str">
        <f t="shared" si="431"/>
        <v>001</v>
      </c>
      <c r="I1393" s="2" t="str">
        <f>"4281208"</f>
        <v>4281208</v>
      </c>
      <c r="J1393" s="2">
        <f>164430</f>
        <v>164430</v>
      </c>
      <c r="K1393" s="2" t="str">
        <f>"台"</f>
        <v>台</v>
      </c>
      <c r="L1393" s="2" t="str">
        <f>"4281208"</f>
        <v>4281208</v>
      </c>
      <c r="M1393" s="2" t="str">
        <f>"4281208"</f>
        <v>4281208</v>
      </c>
    </row>
    <row r="1394" spans="1:13" ht="14.25" customHeight="1" x14ac:dyDescent="0.15">
      <c r="A1394" s="2" t="str">
        <f t="shared" si="427"/>
        <v>1881110500</v>
      </c>
      <c r="B1394" s="2" t="str">
        <f t="shared" si="428"/>
        <v>佐伯・区政調整</v>
      </c>
      <c r="C1394" s="2" t="str">
        <f>"05ﾚ00101"</f>
        <v>05ﾚ00101</v>
      </c>
      <c r="D1394" s="2" t="str">
        <f>"レコードケース"</f>
        <v>レコードケース</v>
      </c>
      <c r="E1394" s="3" t="str">
        <f>"折畳式譜面台用　キャスター付"</f>
        <v>折畳式譜面台用　キャスター付</v>
      </c>
      <c r="F1394" s="2" t="str">
        <f t="shared" si="421"/>
        <v>０００１</v>
      </c>
      <c r="G1394" s="2" t="str">
        <f>"4300006294"</f>
        <v>4300006294</v>
      </c>
      <c r="H1394" s="2" t="str">
        <f t="shared" si="431"/>
        <v>001</v>
      </c>
      <c r="I1394" s="2" t="str">
        <f>"4310320"</f>
        <v>4310320</v>
      </c>
      <c r="J1394" s="2">
        <f>24840</f>
        <v>24840</v>
      </c>
      <c r="K1394" s="2" t="str">
        <f>"個"</f>
        <v>個</v>
      </c>
      <c r="L1394" s="2" t="str">
        <f>"4310320"</f>
        <v>4310320</v>
      </c>
      <c r="M1394" s="2" t="str">
        <f>"4310320"</f>
        <v>4310320</v>
      </c>
    </row>
    <row r="1395" spans="1:13" ht="14.25" customHeight="1" x14ac:dyDescent="0.15">
      <c r="A1395" s="2" t="str">
        <f t="shared" si="427"/>
        <v>1881110500</v>
      </c>
      <c r="B1395" s="2" t="str">
        <f t="shared" si="428"/>
        <v>佐伯・区政調整</v>
      </c>
      <c r="C1395" s="2" t="str">
        <f>"05ﾚ00101"</f>
        <v>05ﾚ00101</v>
      </c>
      <c r="D1395" s="2" t="str">
        <f>"レコードケース"</f>
        <v>レコードケース</v>
      </c>
      <c r="E1395" s="3" t="str">
        <f>"折畳式譜面台用　キャスター付"</f>
        <v>折畳式譜面台用　キャスター付</v>
      </c>
      <c r="F1395" s="2" t="str">
        <f t="shared" si="421"/>
        <v>０００１</v>
      </c>
      <c r="G1395" s="2" t="str">
        <f>"4300006294"</f>
        <v>4300006294</v>
      </c>
      <c r="H1395" s="2" t="str">
        <f>"002"</f>
        <v>002</v>
      </c>
      <c r="I1395" s="2" t="str">
        <f>"4310320"</f>
        <v>4310320</v>
      </c>
      <c r="J1395" s="2">
        <f>24840</f>
        <v>24840</v>
      </c>
      <c r="K1395" s="2" t="str">
        <f>"個"</f>
        <v>個</v>
      </c>
      <c r="L1395" s="2" t="str">
        <f>"4310320"</f>
        <v>4310320</v>
      </c>
      <c r="M1395" s="2" t="str">
        <f>"4310320"</f>
        <v>4310320</v>
      </c>
    </row>
    <row r="1396" spans="1:13" s="1" customFormat="1" ht="14.25" customHeight="1" x14ac:dyDescent="0.15">
      <c r="A1396" s="3" t="str">
        <f t="shared" si="427"/>
        <v>1881110500</v>
      </c>
      <c r="B1396" s="3" t="str">
        <f t="shared" si="428"/>
        <v>佐伯・区政調整</v>
      </c>
      <c r="C1396" s="3" t="str">
        <f>"05ﾚ00201"</f>
        <v>05ﾚ00201</v>
      </c>
      <c r="D1396" s="3" t="str">
        <f>"冷蔵庫"</f>
        <v>冷蔵庫</v>
      </c>
      <c r="E1396" s="3" t="str">
        <f>"三菱電機　ＭＲ－Ｐ１７Ｙ"</f>
        <v>三菱電機　ＭＲ－Ｐ１７Ｙ</v>
      </c>
      <c r="F1396" s="3" t="str">
        <f>"００１"</f>
        <v>００１</v>
      </c>
      <c r="G1396" s="3" t="str">
        <f>"4300004422"</f>
        <v>4300004422</v>
      </c>
      <c r="H1396" s="3" t="str">
        <f t="shared" ref="H1396" si="434">"001"</f>
        <v>001</v>
      </c>
      <c r="I1396" s="3" t="str">
        <f>"4300401"</f>
        <v>4300401</v>
      </c>
      <c r="J1396" s="3">
        <f>48546</f>
        <v>48546</v>
      </c>
      <c r="K1396" s="3" t="str">
        <f>"個"</f>
        <v>個</v>
      </c>
      <c r="L1396" s="3" t="str">
        <f>"4300401"</f>
        <v>4300401</v>
      </c>
      <c r="M1396" s="3" t="str">
        <f>"4300401"</f>
        <v>4300401</v>
      </c>
    </row>
    <row r="1397" spans="1:13" ht="14.25" customHeight="1" x14ac:dyDescent="0.15">
      <c r="A1397" s="2" t="str">
        <f t="shared" si="427"/>
        <v>1881110500</v>
      </c>
      <c r="B1397" s="2" t="str">
        <f t="shared" si="428"/>
        <v>佐伯・区政調整</v>
      </c>
      <c r="C1397" s="2" t="str">
        <f>"05ﾛ00201"</f>
        <v>05ﾛ00201</v>
      </c>
      <c r="D1397" s="2" t="str">
        <f>"ろくろ（陶芸用）"</f>
        <v>ろくろ（陶芸用）</v>
      </c>
      <c r="E1397" s="3" t="str">
        <f>"陶芸用電動"</f>
        <v>陶芸用電動</v>
      </c>
      <c r="F1397" s="2" t="str">
        <f t="shared" ref="F1397:F1402" si="435">"０００１"</f>
        <v>０００１</v>
      </c>
      <c r="G1397" s="2" t="str">
        <f>"3620004379"</f>
        <v>3620004379</v>
      </c>
      <c r="H1397" s="2" t="str">
        <f t="shared" ref="H1397:H1403" si="436">"001"</f>
        <v>001</v>
      </c>
      <c r="I1397" s="2" t="str">
        <f>"4100401"</f>
        <v>4100401</v>
      </c>
      <c r="J1397" s="2">
        <f>79000</f>
        <v>79000</v>
      </c>
      <c r="K1397" s="2" t="str">
        <f t="shared" ref="K1397:K1402" si="437">"台"</f>
        <v>台</v>
      </c>
      <c r="L1397" s="2" t="str">
        <f>"3630331"</f>
        <v>3630331</v>
      </c>
      <c r="M1397" s="2" t="str">
        <f>""</f>
        <v/>
      </c>
    </row>
    <row r="1398" spans="1:13" ht="14.25" customHeight="1" x14ac:dyDescent="0.15">
      <c r="A1398" s="2" t="str">
        <f t="shared" si="427"/>
        <v>1881110500</v>
      </c>
      <c r="B1398" s="2" t="str">
        <f t="shared" si="428"/>
        <v>佐伯・区政調整</v>
      </c>
      <c r="C1398" s="2" t="str">
        <f>"05ﾛ00201"</f>
        <v>05ﾛ00201</v>
      </c>
      <c r="D1398" s="2" t="str">
        <f>"ろくろ（陶芸用）"</f>
        <v>ろくろ（陶芸用）</v>
      </c>
      <c r="E1398" s="3" t="str">
        <f>"陶芸用電動"</f>
        <v>陶芸用電動</v>
      </c>
      <c r="F1398" s="2" t="str">
        <f t="shared" si="435"/>
        <v>０００１</v>
      </c>
      <c r="G1398" s="2" t="str">
        <f>"3620004380"</f>
        <v>3620004380</v>
      </c>
      <c r="H1398" s="2" t="str">
        <f t="shared" si="436"/>
        <v>001</v>
      </c>
      <c r="I1398" s="2" t="str">
        <f>"4100401"</f>
        <v>4100401</v>
      </c>
      <c r="J1398" s="2">
        <f>79000</f>
        <v>79000</v>
      </c>
      <c r="K1398" s="2" t="str">
        <f t="shared" si="437"/>
        <v>台</v>
      </c>
      <c r="L1398" s="2" t="str">
        <f>"3630331"</f>
        <v>3630331</v>
      </c>
      <c r="M1398" s="2" t="str">
        <f>""</f>
        <v/>
      </c>
    </row>
    <row r="1399" spans="1:13" ht="14.25" customHeight="1" x14ac:dyDescent="0.15">
      <c r="A1399" s="2" t="str">
        <f t="shared" si="427"/>
        <v>1881110500</v>
      </c>
      <c r="B1399" s="2" t="str">
        <f t="shared" si="428"/>
        <v>佐伯・区政調整</v>
      </c>
      <c r="C1399" s="2" t="str">
        <f t="shared" ref="C1399:C1402" si="438">"06ｸ00201"</f>
        <v>06ｸ00201</v>
      </c>
      <c r="D1399" s="2" t="str">
        <f t="shared" ref="D1399:D1402" si="439">"車椅子"</f>
        <v>車椅子</v>
      </c>
      <c r="E1399" s="3" t="str">
        <f>"㈱松永製作所ＡＲ－２０１Ｂ"</f>
        <v>㈱松永製作所ＡＲ－２０１Ｂ</v>
      </c>
      <c r="F1399" s="2" t="str">
        <f t="shared" si="435"/>
        <v>０００１</v>
      </c>
      <c r="G1399" s="2" t="str">
        <f>"4230003799"</f>
        <v>4230003799</v>
      </c>
      <c r="H1399" s="2" t="str">
        <f t="shared" si="436"/>
        <v>001</v>
      </c>
      <c r="I1399" s="2" t="str">
        <f>"4240209"</f>
        <v>4240209</v>
      </c>
      <c r="J1399" s="2">
        <f>20000</f>
        <v>20000</v>
      </c>
      <c r="K1399" s="2" t="str">
        <f t="shared" si="437"/>
        <v>台</v>
      </c>
      <c r="L1399" s="2" t="str">
        <f>"4240209"</f>
        <v>4240209</v>
      </c>
      <c r="M1399" s="2" t="str">
        <f>"4240209"</f>
        <v>4240209</v>
      </c>
    </row>
    <row r="1400" spans="1:13" ht="14.25" customHeight="1" x14ac:dyDescent="0.15">
      <c r="A1400" s="2" t="str">
        <f t="shared" si="427"/>
        <v>1881110500</v>
      </c>
      <c r="B1400" s="2" t="str">
        <f t="shared" si="428"/>
        <v>佐伯・区政調整</v>
      </c>
      <c r="C1400" s="2" t="str">
        <f t="shared" si="438"/>
        <v>06ｸ00201</v>
      </c>
      <c r="D1400" s="2" t="str">
        <f t="shared" si="439"/>
        <v>車椅子</v>
      </c>
      <c r="E1400" s="3" t="str">
        <f>"㈱松永製作所ＡＲ－２０１Ｂ"</f>
        <v>㈱松永製作所ＡＲ－２０１Ｂ</v>
      </c>
      <c r="F1400" s="2" t="str">
        <f t="shared" si="435"/>
        <v>０００１</v>
      </c>
      <c r="G1400" s="2" t="str">
        <f>"4230003800"</f>
        <v>4230003800</v>
      </c>
      <c r="H1400" s="2" t="str">
        <f t="shared" si="436"/>
        <v>001</v>
      </c>
      <c r="I1400" s="2" t="str">
        <f>"4240209"</f>
        <v>4240209</v>
      </c>
      <c r="J1400" s="2">
        <f>20000</f>
        <v>20000</v>
      </c>
      <c r="K1400" s="2" t="str">
        <f t="shared" si="437"/>
        <v>台</v>
      </c>
      <c r="L1400" s="2" t="str">
        <f>"4240209"</f>
        <v>4240209</v>
      </c>
      <c r="M1400" s="2" t="str">
        <f>"4240209"</f>
        <v>4240209</v>
      </c>
    </row>
    <row r="1401" spans="1:13" ht="14.25" customHeight="1" x14ac:dyDescent="0.15">
      <c r="A1401" s="2" t="str">
        <f t="shared" si="427"/>
        <v>1881110500</v>
      </c>
      <c r="B1401" s="2" t="str">
        <f t="shared" si="428"/>
        <v>佐伯・区政調整</v>
      </c>
      <c r="C1401" s="2" t="str">
        <f t="shared" si="438"/>
        <v>06ｸ00201</v>
      </c>
      <c r="D1401" s="2" t="str">
        <f t="shared" si="439"/>
        <v>車椅子</v>
      </c>
      <c r="E1401" s="3" t="str">
        <f>"㈱松永製作所ＡＲ－２０１Ｂ"</f>
        <v>㈱松永製作所ＡＲ－２０１Ｂ</v>
      </c>
      <c r="F1401" s="2" t="str">
        <f t="shared" si="435"/>
        <v>０００１</v>
      </c>
      <c r="G1401" s="2" t="str">
        <f>"4230003801"</f>
        <v>4230003801</v>
      </c>
      <c r="H1401" s="2" t="str">
        <f t="shared" si="436"/>
        <v>001</v>
      </c>
      <c r="I1401" s="2" t="str">
        <f>"4240209"</f>
        <v>4240209</v>
      </c>
      <c r="J1401" s="2">
        <f>20000</f>
        <v>20000</v>
      </c>
      <c r="K1401" s="2" t="str">
        <f t="shared" si="437"/>
        <v>台</v>
      </c>
      <c r="L1401" s="2" t="str">
        <f>"4240209"</f>
        <v>4240209</v>
      </c>
      <c r="M1401" s="2" t="str">
        <f>"4240209"</f>
        <v>4240209</v>
      </c>
    </row>
    <row r="1402" spans="1:13" ht="14.25" customHeight="1" x14ac:dyDescent="0.15">
      <c r="A1402" s="2" t="str">
        <f t="shared" si="427"/>
        <v>1881110500</v>
      </c>
      <c r="B1402" s="2" t="str">
        <f t="shared" si="428"/>
        <v>佐伯・区政調整</v>
      </c>
      <c r="C1402" s="2" t="str">
        <f t="shared" si="438"/>
        <v>06ｸ00201</v>
      </c>
      <c r="D1402" s="2" t="str">
        <f t="shared" si="439"/>
        <v>車椅子</v>
      </c>
      <c r="E1402" s="3" t="str">
        <f>"㈱松永製作所ＡＲ－２０１Ｂ"</f>
        <v>㈱松永製作所ＡＲ－２０１Ｂ</v>
      </c>
      <c r="F1402" s="2" t="str">
        <f t="shared" si="435"/>
        <v>０００１</v>
      </c>
      <c r="G1402" s="2" t="str">
        <f>"4230003802"</f>
        <v>4230003802</v>
      </c>
      <c r="H1402" s="2" t="str">
        <f t="shared" si="436"/>
        <v>001</v>
      </c>
      <c r="I1402" s="2" t="str">
        <f>"4240209"</f>
        <v>4240209</v>
      </c>
      <c r="J1402" s="2">
        <f>20000</f>
        <v>20000</v>
      </c>
      <c r="K1402" s="2" t="str">
        <f t="shared" si="437"/>
        <v>台</v>
      </c>
      <c r="L1402" s="2" t="str">
        <f>"4240209"</f>
        <v>4240209</v>
      </c>
      <c r="M1402" s="2" t="str">
        <f>"4240209"</f>
        <v>4240209</v>
      </c>
    </row>
    <row r="1403" spans="1:13" ht="14.25" customHeight="1" x14ac:dyDescent="0.15">
      <c r="A1403" s="2" t="str">
        <f t="shared" ref="A1403:A1439" si="440">"1881110500"</f>
        <v>1881110500</v>
      </c>
      <c r="B1403" s="2" t="str">
        <f t="shared" ref="B1403:B1439" si="441">"佐伯・区政調整"</f>
        <v>佐伯・区政調整</v>
      </c>
      <c r="C1403" s="2" t="str">
        <f t="shared" ref="C1403:C1419" si="442">"06ﾀ00401"</f>
        <v>06ﾀ00401</v>
      </c>
      <c r="D1403" s="2" t="str">
        <f t="shared" ref="D1403:D1419" si="443">"台車"</f>
        <v>台車</v>
      </c>
      <c r="E1403" s="3" t="str">
        <f t="shared" ref="E1403:E1415" si="444">"長机１０台収納"</f>
        <v>長机１０台収納</v>
      </c>
      <c r="F1403" s="2" t="str">
        <f t="shared" ref="F1403:F1439" si="445">"０００１"</f>
        <v>０００１</v>
      </c>
      <c r="G1403" s="2" t="str">
        <f>"3620004382"</f>
        <v>3620004382</v>
      </c>
      <c r="H1403" s="2" t="str">
        <f t="shared" si="436"/>
        <v>001</v>
      </c>
      <c r="I1403" s="2" t="str">
        <f t="shared" ref="I1403:I1437" si="446">"4100401"</f>
        <v>4100401</v>
      </c>
      <c r="J1403" s="2">
        <f>37800</f>
        <v>37800</v>
      </c>
      <c r="K1403" s="2" t="str">
        <f t="shared" ref="K1403:K1412" si="447">"台"</f>
        <v>台</v>
      </c>
      <c r="L1403" s="2" t="str">
        <f t="shared" ref="L1403:L1437" si="448">"3630331"</f>
        <v>3630331</v>
      </c>
      <c r="M1403" s="2" t="str">
        <f>""</f>
        <v/>
      </c>
    </row>
    <row r="1404" spans="1:13" x14ac:dyDescent="0.15">
      <c r="A1404" s="2" t="str">
        <f t="shared" si="440"/>
        <v>1881110500</v>
      </c>
      <c r="B1404" s="2" t="str">
        <f t="shared" si="441"/>
        <v>佐伯・区政調整</v>
      </c>
      <c r="C1404" s="2" t="str">
        <f t="shared" si="442"/>
        <v>06ﾀ00401</v>
      </c>
      <c r="D1404" s="2" t="str">
        <f t="shared" si="443"/>
        <v>台車</v>
      </c>
      <c r="E1404" s="3" t="str">
        <f t="shared" si="444"/>
        <v>長机１０台収納</v>
      </c>
      <c r="F1404" s="2" t="str">
        <f t="shared" si="445"/>
        <v>０００１</v>
      </c>
      <c r="G1404" s="2" t="str">
        <f>"3620004383"</f>
        <v>3620004383</v>
      </c>
      <c r="H1404" s="2" t="str">
        <f t="shared" ref="H1404:H1435" si="449">"001"</f>
        <v>001</v>
      </c>
      <c r="I1404" s="2" t="str">
        <f t="shared" si="446"/>
        <v>4100401</v>
      </c>
      <c r="J1404" s="2">
        <f>37800</f>
        <v>37800</v>
      </c>
      <c r="K1404" s="2" t="str">
        <f t="shared" si="447"/>
        <v>台</v>
      </c>
      <c r="L1404" s="2" t="str">
        <f t="shared" si="448"/>
        <v>3630331</v>
      </c>
      <c r="M1404" s="2" t="str">
        <f>""</f>
        <v/>
      </c>
    </row>
    <row r="1405" spans="1:13" x14ac:dyDescent="0.15">
      <c r="A1405" s="2" t="str">
        <f t="shared" si="440"/>
        <v>1881110500</v>
      </c>
      <c r="B1405" s="2" t="str">
        <f t="shared" si="441"/>
        <v>佐伯・区政調整</v>
      </c>
      <c r="C1405" s="2" t="str">
        <f t="shared" si="442"/>
        <v>06ﾀ00401</v>
      </c>
      <c r="D1405" s="2" t="str">
        <f t="shared" si="443"/>
        <v>台車</v>
      </c>
      <c r="E1405" s="3" t="str">
        <f t="shared" si="444"/>
        <v>長机１０台収納</v>
      </c>
      <c r="F1405" s="2" t="str">
        <f t="shared" si="445"/>
        <v>０００１</v>
      </c>
      <c r="G1405" s="2" t="str">
        <f>"3620004384"</f>
        <v>3620004384</v>
      </c>
      <c r="H1405" s="2" t="str">
        <f t="shared" si="449"/>
        <v>001</v>
      </c>
      <c r="I1405" s="2" t="str">
        <f t="shared" si="446"/>
        <v>4100401</v>
      </c>
      <c r="J1405" s="2">
        <f>37800</f>
        <v>37800</v>
      </c>
      <c r="K1405" s="2" t="str">
        <f t="shared" si="447"/>
        <v>台</v>
      </c>
      <c r="L1405" s="2" t="str">
        <f t="shared" si="448"/>
        <v>3630331</v>
      </c>
      <c r="M1405" s="2" t="str">
        <f>""</f>
        <v/>
      </c>
    </row>
    <row r="1406" spans="1:13" x14ac:dyDescent="0.15">
      <c r="A1406" s="2" t="str">
        <f t="shared" si="440"/>
        <v>1881110500</v>
      </c>
      <c r="B1406" s="2" t="str">
        <f t="shared" si="441"/>
        <v>佐伯・区政調整</v>
      </c>
      <c r="C1406" s="2" t="str">
        <f t="shared" si="442"/>
        <v>06ﾀ00401</v>
      </c>
      <c r="D1406" s="2" t="str">
        <f t="shared" si="443"/>
        <v>台車</v>
      </c>
      <c r="E1406" s="3" t="str">
        <f t="shared" si="444"/>
        <v>長机１０台収納</v>
      </c>
      <c r="F1406" s="2" t="str">
        <f t="shared" si="445"/>
        <v>０００１</v>
      </c>
      <c r="G1406" s="2" t="str">
        <f>"3620004385"</f>
        <v>3620004385</v>
      </c>
      <c r="H1406" s="2" t="str">
        <f t="shared" si="449"/>
        <v>001</v>
      </c>
      <c r="I1406" s="2" t="str">
        <f t="shared" si="446"/>
        <v>4100401</v>
      </c>
      <c r="J1406" s="2">
        <f>37800</f>
        <v>37800</v>
      </c>
      <c r="K1406" s="2" t="str">
        <f t="shared" si="447"/>
        <v>台</v>
      </c>
      <c r="L1406" s="2" t="str">
        <f t="shared" si="448"/>
        <v>3630331</v>
      </c>
      <c r="M1406" s="2" t="str">
        <f>""</f>
        <v/>
      </c>
    </row>
    <row r="1407" spans="1:13" x14ac:dyDescent="0.15">
      <c r="A1407" s="2" t="str">
        <f t="shared" si="440"/>
        <v>1881110500</v>
      </c>
      <c r="B1407" s="2" t="str">
        <f t="shared" si="441"/>
        <v>佐伯・区政調整</v>
      </c>
      <c r="C1407" s="2" t="str">
        <f t="shared" si="442"/>
        <v>06ﾀ00401</v>
      </c>
      <c r="D1407" s="2" t="str">
        <f t="shared" si="443"/>
        <v>台車</v>
      </c>
      <c r="E1407" s="3" t="str">
        <f t="shared" si="444"/>
        <v>長机１０台収納</v>
      </c>
      <c r="F1407" s="2" t="str">
        <f t="shared" si="445"/>
        <v>０００１</v>
      </c>
      <c r="G1407" s="2" t="str">
        <f>"3620004386"</f>
        <v>3620004386</v>
      </c>
      <c r="H1407" s="2" t="str">
        <f t="shared" si="449"/>
        <v>001</v>
      </c>
      <c r="I1407" s="2" t="str">
        <f t="shared" si="446"/>
        <v>4100401</v>
      </c>
      <c r="J1407" s="2">
        <f>37800</f>
        <v>37800</v>
      </c>
      <c r="K1407" s="2" t="str">
        <f t="shared" si="447"/>
        <v>台</v>
      </c>
      <c r="L1407" s="2" t="str">
        <f t="shared" si="448"/>
        <v>3630331</v>
      </c>
      <c r="M1407" s="2" t="str">
        <f>""</f>
        <v/>
      </c>
    </row>
    <row r="1408" spans="1:13" x14ac:dyDescent="0.15">
      <c r="A1408" s="2" t="str">
        <f t="shared" si="440"/>
        <v>1881110500</v>
      </c>
      <c r="B1408" s="2" t="str">
        <f t="shared" si="441"/>
        <v>佐伯・区政調整</v>
      </c>
      <c r="C1408" s="2" t="str">
        <f t="shared" si="442"/>
        <v>06ﾀ00401</v>
      </c>
      <c r="D1408" s="2" t="str">
        <f t="shared" si="443"/>
        <v>台車</v>
      </c>
      <c r="E1408" s="3" t="str">
        <f t="shared" si="444"/>
        <v>長机１０台収納</v>
      </c>
      <c r="F1408" s="2" t="str">
        <f t="shared" si="445"/>
        <v>０００１</v>
      </c>
      <c r="G1408" s="2" t="str">
        <f>"3620004387"</f>
        <v>3620004387</v>
      </c>
      <c r="H1408" s="2" t="str">
        <f t="shared" si="449"/>
        <v>001</v>
      </c>
      <c r="I1408" s="2" t="str">
        <f t="shared" si="446"/>
        <v>4100401</v>
      </c>
      <c r="J1408" s="2">
        <f>37800</f>
        <v>37800</v>
      </c>
      <c r="K1408" s="2" t="str">
        <f t="shared" si="447"/>
        <v>台</v>
      </c>
      <c r="L1408" s="2" t="str">
        <f t="shared" si="448"/>
        <v>3630331</v>
      </c>
      <c r="M1408" s="2" t="str">
        <f>""</f>
        <v/>
      </c>
    </row>
    <row r="1409" spans="1:13" x14ac:dyDescent="0.15">
      <c r="A1409" s="2" t="str">
        <f t="shared" si="440"/>
        <v>1881110500</v>
      </c>
      <c r="B1409" s="2" t="str">
        <f t="shared" si="441"/>
        <v>佐伯・区政調整</v>
      </c>
      <c r="C1409" s="2" t="str">
        <f t="shared" si="442"/>
        <v>06ﾀ00401</v>
      </c>
      <c r="D1409" s="2" t="str">
        <f t="shared" si="443"/>
        <v>台車</v>
      </c>
      <c r="E1409" s="3" t="str">
        <f t="shared" si="444"/>
        <v>長机１０台収納</v>
      </c>
      <c r="F1409" s="2" t="str">
        <f t="shared" si="445"/>
        <v>０００１</v>
      </c>
      <c r="G1409" s="2" t="str">
        <f>"3620004388"</f>
        <v>3620004388</v>
      </c>
      <c r="H1409" s="2" t="str">
        <f t="shared" si="449"/>
        <v>001</v>
      </c>
      <c r="I1409" s="2" t="str">
        <f t="shared" si="446"/>
        <v>4100401</v>
      </c>
      <c r="J1409" s="2">
        <f>37800</f>
        <v>37800</v>
      </c>
      <c r="K1409" s="2" t="str">
        <f t="shared" si="447"/>
        <v>台</v>
      </c>
      <c r="L1409" s="2" t="str">
        <f t="shared" si="448"/>
        <v>3630331</v>
      </c>
      <c r="M1409" s="2" t="str">
        <f>""</f>
        <v/>
      </c>
    </row>
    <row r="1410" spans="1:13" x14ac:dyDescent="0.15">
      <c r="A1410" s="2" t="str">
        <f t="shared" si="440"/>
        <v>1881110500</v>
      </c>
      <c r="B1410" s="2" t="str">
        <f t="shared" si="441"/>
        <v>佐伯・区政調整</v>
      </c>
      <c r="C1410" s="2" t="str">
        <f t="shared" si="442"/>
        <v>06ﾀ00401</v>
      </c>
      <c r="D1410" s="2" t="str">
        <f t="shared" si="443"/>
        <v>台車</v>
      </c>
      <c r="E1410" s="3" t="str">
        <f t="shared" si="444"/>
        <v>長机１０台収納</v>
      </c>
      <c r="F1410" s="2" t="str">
        <f t="shared" si="445"/>
        <v>０００１</v>
      </c>
      <c r="G1410" s="2" t="str">
        <f>"3620004389"</f>
        <v>3620004389</v>
      </c>
      <c r="H1410" s="2" t="str">
        <f t="shared" si="449"/>
        <v>001</v>
      </c>
      <c r="I1410" s="2" t="str">
        <f t="shared" si="446"/>
        <v>4100401</v>
      </c>
      <c r="J1410" s="2">
        <f>37800</f>
        <v>37800</v>
      </c>
      <c r="K1410" s="2" t="str">
        <f t="shared" si="447"/>
        <v>台</v>
      </c>
      <c r="L1410" s="2" t="str">
        <f t="shared" si="448"/>
        <v>3630331</v>
      </c>
      <c r="M1410" s="2" t="str">
        <f>""</f>
        <v/>
      </c>
    </row>
    <row r="1411" spans="1:13" x14ac:dyDescent="0.15">
      <c r="A1411" s="2" t="str">
        <f t="shared" si="440"/>
        <v>1881110500</v>
      </c>
      <c r="B1411" s="2" t="str">
        <f t="shared" si="441"/>
        <v>佐伯・区政調整</v>
      </c>
      <c r="C1411" s="2" t="str">
        <f t="shared" si="442"/>
        <v>06ﾀ00401</v>
      </c>
      <c r="D1411" s="2" t="str">
        <f t="shared" si="443"/>
        <v>台車</v>
      </c>
      <c r="E1411" s="3" t="str">
        <f t="shared" si="444"/>
        <v>長机１０台収納</v>
      </c>
      <c r="F1411" s="2" t="str">
        <f t="shared" si="445"/>
        <v>０００１</v>
      </c>
      <c r="G1411" s="2" t="str">
        <f>"3620004390"</f>
        <v>3620004390</v>
      </c>
      <c r="H1411" s="2" t="str">
        <f t="shared" si="449"/>
        <v>001</v>
      </c>
      <c r="I1411" s="2" t="str">
        <f t="shared" si="446"/>
        <v>4100401</v>
      </c>
      <c r="J1411" s="2">
        <f>37800</f>
        <v>37800</v>
      </c>
      <c r="K1411" s="2" t="str">
        <f t="shared" si="447"/>
        <v>台</v>
      </c>
      <c r="L1411" s="2" t="str">
        <f t="shared" si="448"/>
        <v>3630331</v>
      </c>
      <c r="M1411" s="2" t="str">
        <f>""</f>
        <v/>
      </c>
    </row>
    <row r="1412" spans="1:13" x14ac:dyDescent="0.15">
      <c r="A1412" s="2" t="str">
        <f t="shared" si="440"/>
        <v>1881110500</v>
      </c>
      <c r="B1412" s="2" t="str">
        <f t="shared" si="441"/>
        <v>佐伯・区政調整</v>
      </c>
      <c r="C1412" s="2" t="str">
        <f t="shared" si="442"/>
        <v>06ﾀ00401</v>
      </c>
      <c r="D1412" s="2" t="str">
        <f t="shared" si="443"/>
        <v>台車</v>
      </c>
      <c r="E1412" s="3" t="str">
        <f t="shared" si="444"/>
        <v>長机１０台収納</v>
      </c>
      <c r="F1412" s="2" t="str">
        <f t="shared" si="445"/>
        <v>０００１</v>
      </c>
      <c r="G1412" s="2" t="str">
        <f>"3620004391"</f>
        <v>3620004391</v>
      </c>
      <c r="H1412" s="2" t="str">
        <f t="shared" si="449"/>
        <v>001</v>
      </c>
      <c r="I1412" s="2" t="str">
        <f t="shared" si="446"/>
        <v>4100401</v>
      </c>
      <c r="J1412" s="2">
        <f>37800</f>
        <v>37800</v>
      </c>
      <c r="K1412" s="2" t="str">
        <f t="shared" si="447"/>
        <v>台</v>
      </c>
      <c r="L1412" s="2" t="str">
        <f t="shared" si="448"/>
        <v>3630331</v>
      </c>
      <c r="M1412" s="2" t="str">
        <f>""</f>
        <v/>
      </c>
    </row>
    <row r="1413" spans="1:13" x14ac:dyDescent="0.15">
      <c r="A1413" s="2" t="str">
        <f t="shared" si="440"/>
        <v>1881110500</v>
      </c>
      <c r="B1413" s="2" t="str">
        <f t="shared" si="441"/>
        <v>佐伯・区政調整</v>
      </c>
      <c r="C1413" s="2" t="str">
        <f t="shared" si="442"/>
        <v>06ﾀ00401</v>
      </c>
      <c r="D1413" s="2" t="str">
        <f t="shared" si="443"/>
        <v>台車</v>
      </c>
      <c r="E1413" s="3" t="str">
        <f t="shared" si="444"/>
        <v>長机１０台収納</v>
      </c>
      <c r="F1413" s="2" t="str">
        <f t="shared" si="445"/>
        <v>０００１</v>
      </c>
      <c r="G1413" s="2" t="str">
        <f>"3620004392"</f>
        <v>3620004392</v>
      </c>
      <c r="H1413" s="2" t="str">
        <f t="shared" si="449"/>
        <v>001</v>
      </c>
      <c r="I1413" s="2" t="str">
        <f t="shared" si="446"/>
        <v>4100401</v>
      </c>
      <c r="J1413" s="2">
        <f>37800</f>
        <v>37800</v>
      </c>
      <c r="K1413" s="2" t="str">
        <f t="shared" ref="K1413:K1438" si="450">"台"</f>
        <v>台</v>
      </c>
      <c r="L1413" s="2" t="str">
        <f t="shared" si="448"/>
        <v>3630331</v>
      </c>
      <c r="M1413" s="2" t="str">
        <f>""</f>
        <v/>
      </c>
    </row>
    <row r="1414" spans="1:13" x14ac:dyDescent="0.15">
      <c r="A1414" s="2" t="str">
        <f t="shared" si="440"/>
        <v>1881110500</v>
      </c>
      <c r="B1414" s="2" t="str">
        <f t="shared" si="441"/>
        <v>佐伯・区政調整</v>
      </c>
      <c r="C1414" s="2" t="str">
        <f t="shared" si="442"/>
        <v>06ﾀ00401</v>
      </c>
      <c r="D1414" s="2" t="str">
        <f t="shared" si="443"/>
        <v>台車</v>
      </c>
      <c r="E1414" s="3" t="str">
        <f t="shared" si="444"/>
        <v>長机１０台収納</v>
      </c>
      <c r="F1414" s="2" t="str">
        <f t="shared" si="445"/>
        <v>０００１</v>
      </c>
      <c r="G1414" s="2" t="str">
        <f>"3620004393"</f>
        <v>3620004393</v>
      </c>
      <c r="H1414" s="2" t="str">
        <f t="shared" si="449"/>
        <v>001</v>
      </c>
      <c r="I1414" s="2" t="str">
        <f t="shared" si="446"/>
        <v>4100401</v>
      </c>
      <c r="J1414" s="2">
        <f>37800</f>
        <v>37800</v>
      </c>
      <c r="K1414" s="2" t="str">
        <f t="shared" si="450"/>
        <v>台</v>
      </c>
      <c r="L1414" s="2" t="str">
        <f t="shared" si="448"/>
        <v>3630331</v>
      </c>
      <c r="M1414" s="2" t="str">
        <f>""</f>
        <v/>
      </c>
    </row>
    <row r="1415" spans="1:13" x14ac:dyDescent="0.15">
      <c r="A1415" s="2" t="str">
        <f t="shared" si="440"/>
        <v>1881110500</v>
      </c>
      <c r="B1415" s="2" t="str">
        <f t="shared" si="441"/>
        <v>佐伯・区政調整</v>
      </c>
      <c r="C1415" s="2" t="str">
        <f t="shared" si="442"/>
        <v>06ﾀ00401</v>
      </c>
      <c r="D1415" s="2" t="str">
        <f t="shared" si="443"/>
        <v>台車</v>
      </c>
      <c r="E1415" s="3" t="str">
        <f t="shared" si="444"/>
        <v>長机１０台収納</v>
      </c>
      <c r="F1415" s="2" t="str">
        <f t="shared" si="445"/>
        <v>０００１</v>
      </c>
      <c r="G1415" s="2" t="str">
        <f>"3620004394"</f>
        <v>3620004394</v>
      </c>
      <c r="H1415" s="2" t="str">
        <f t="shared" si="449"/>
        <v>001</v>
      </c>
      <c r="I1415" s="2" t="str">
        <f t="shared" si="446"/>
        <v>4100401</v>
      </c>
      <c r="J1415" s="2">
        <f>37800</f>
        <v>37800</v>
      </c>
      <c r="K1415" s="2" t="str">
        <f t="shared" si="450"/>
        <v>台</v>
      </c>
      <c r="L1415" s="2" t="str">
        <f t="shared" si="448"/>
        <v>3630331</v>
      </c>
      <c r="M1415" s="2" t="str">
        <f>""</f>
        <v/>
      </c>
    </row>
    <row r="1416" spans="1:13" x14ac:dyDescent="0.15">
      <c r="A1416" s="2" t="str">
        <f t="shared" si="440"/>
        <v>1881110500</v>
      </c>
      <c r="B1416" s="2" t="str">
        <f t="shared" si="441"/>
        <v>佐伯・区政調整</v>
      </c>
      <c r="C1416" s="2" t="str">
        <f t="shared" si="442"/>
        <v>06ﾀ00401</v>
      </c>
      <c r="D1416" s="2" t="str">
        <f t="shared" si="443"/>
        <v>台車</v>
      </c>
      <c r="E1416" s="3" t="str">
        <f t="shared" ref="E1416:E1429" si="451">"パイプ椅子用"</f>
        <v>パイプ椅子用</v>
      </c>
      <c r="F1416" s="2" t="str">
        <f t="shared" si="445"/>
        <v>０００１</v>
      </c>
      <c r="G1416" s="2" t="str">
        <f>"3620004395"</f>
        <v>3620004395</v>
      </c>
      <c r="H1416" s="2" t="str">
        <f t="shared" si="449"/>
        <v>001</v>
      </c>
      <c r="I1416" s="2" t="str">
        <f t="shared" si="446"/>
        <v>4100401</v>
      </c>
      <c r="J1416" s="2">
        <f>28000</f>
        <v>28000</v>
      </c>
      <c r="K1416" s="2" t="str">
        <f t="shared" si="450"/>
        <v>台</v>
      </c>
      <c r="L1416" s="2" t="str">
        <f t="shared" si="448"/>
        <v>3630331</v>
      </c>
      <c r="M1416" s="2" t="str">
        <f>""</f>
        <v/>
      </c>
    </row>
    <row r="1417" spans="1:13" x14ac:dyDescent="0.15">
      <c r="A1417" s="2" t="str">
        <f t="shared" si="440"/>
        <v>1881110500</v>
      </c>
      <c r="B1417" s="2" t="str">
        <f t="shared" si="441"/>
        <v>佐伯・区政調整</v>
      </c>
      <c r="C1417" s="2" t="str">
        <f t="shared" si="442"/>
        <v>06ﾀ00401</v>
      </c>
      <c r="D1417" s="2" t="str">
        <f t="shared" si="443"/>
        <v>台車</v>
      </c>
      <c r="E1417" s="3" t="str">
        <f t="shared" si="451"/>
        <v>パイプ椅子用</v>
      </c>
      <c r="F1417" s="2" t="str">
        <f t="shared" si="445"/>
        <v>０００１</v>
      </c>
      <c r="G1417" s="2" t="str">
        <f>"3620004396"</f>
        <v>3620004396</v>
      </c>
      <c r="H1417" s="2" t="str">
        <f t="shared" si="449"/>
        <v>001</v>
      </c>
      <c r="I1417" s="2" t="str">
        <f t="shared" si="446"/>
        <v>4100401</v>
      </c>
      <c r="J1417" s="2">
        <f>28000</f>
        <v>28000</v>
      </c>
      <c r="K1417" s="2" t="str">
        <f t="shared" si="450"/>
        <v>台</v>
      </c>
      <c r="L1417" s="2" t="str">
        <f t="shared" si="448"/>
        <v>3630331</v>
      </c>
      <c r="M1417" s="2" t="str">
        <f>""</f>
        <v/>
      </c>
    </row>
    <row r="1418" spans="1:13" x14ac:dyDescent="0.15">
      <c r="A1418" s="2" t="str">
        <f t="shared" si="440"/>
        <v>1881110500</v>
      </c>
      <c r="B1418" s="2" t="str">
        <f t="shared" si="441"/>
        <v>佐伯・区政調整</v>
      </c>
      <c r="C1418" s="2" t="str">
        <f t="shared" si="442"/>
        <v>06ﾀ00401</v>
      </c>
      <c r="D1418" s="2" t="str">
        <f t="shared" si="443"/>
        <v>台車</v>
      </c>
      <c r="E1418" s="3" t="str">
        <f t="shared" si="451"/>
        <v>パイプ椅子用</v>
      </c>
      <c r="F1418" s="2" t="str">
        <f t="shared" si="445"/>
        <v>０００１</v>
      </c>
      <c r="G1418" s="2" t="str">
        <f>"3620004397"</f>
        <v>3620004397</v>
      </c>
      <c r="H1418" s="2" t="str">
        <f t="shared" si="449"/>
        <v>001</v>
      </c>
      <c r="I1418" s="2" t="str">
        <f t="shared" si="446"/>
        <v>4100401</v>
      </c>
      <c r="J1418" s="2">
        <f>28000</f>
        <v>28000</v>
      </c>
      <c r="K1418" s="2" t="str">
        <f t="shared" si="450"/>
        <v>台</v>
      </c>
      <c r="L1418" s="2" t="str">
        <f t="shared" si="448"/>
        <v>3630331</v>
      </c>
      <c r="M1418" s="2" t="str">
        <f>""</f>
        <v/>
      </c>
    </row>
    <row r="1419" spans="1:13" x14ac:dyDescent="0.15">
      <c r="A1419" s="2" t="str">
        <f t="shared" si="440"/>
        <v>1881110500</v>
      </c>
      <c r="B1419" s="2" t="str">
        <f t="shared" si="441"/>
        <v>佐伯・区政調整</v>
      </c>
      <c r="C1419" s="2" t="str">
        <f t="shared" si="442"/>
        <v>06ﾀ00401</v>
      </c>
      <c r="D1419" s="2" t="str">
        <f t="shared" si="443"/>
        <v>台車</v>
      </c>
      <c r="E1419" s="3" t="str">
        <f t="shared" si="451"/>
        <v>パイプ椅子用</v>
      </c>
      <c r="F1419" s="2" t="str">
        <f t="shared" si="445"/>
        <v>０００１</v>
      </c>
      <c r="G1419" s="2" t="str">
        <f>"3620004398"</f>
        <v>3620004398</v>
      </c>
      <c r="H1419" s="2" t="str">
        <f t="shared" si="449"/>
        <v>001</v>
      </c>
      <c r="I1419" s="2" t="str">
        <f t="shared" si="446"/>
        <v>4100401</v>
      </c>
      <c r="J1419" s="2">
        <f>28000</f>
        <v>28000</v>
      </c>
      <c r="K1419" s="2" t="str">
        <f t="shared" si="450"/>
        <v>台</v>
      </c>
      <c r="L1419" s="2" t="str">
        <f t="shared" si="448"/>
        <v>3630331</v>
      </c>
      <c r="M1419" s="2" t="str">
        <f>""</f>
        <v/>
      </c>
    </row>
    <row r="1420" spans="1:13" x14ac:dyDescent="0.15">
      <c r="A1420" s="2" t="str">
        <f t="shared" si="440"/>
        <v>1881110500</v>
      </c>
      <c r="B1420" s="2" t="str">
        <f t="shared" si="441"/>
        <v>佐伯・区政調整</v>
      </c>
      <c r="C1420" s="2" t="str">
        <f t="shared" ref="C1420:C1438" si="452">"06ﾀ00401"</f>
        <v>06ﾀ00401</v>
      </c>
      <c r="D1420" s="2" t="str">
        <f t="shared" ref="D1420:D1438" si="453">"台車"</f>
        <v>台車</v>
      </c>
      <c r="E1420" s="3" t="str">
        <f t="shared" si="451"/>
        <v>パイプ椅子用</v>
      </c>
      <c r="F1420" s="2" t="str">
        <f t="shared" si="445"/>
        <v>０００１</v>
      </c>
      <c r="G1420" s="2" t="str">
        <f>"3620004399"</f>
        <v>3620004399</v>
      </c>
      <c r="H1420" s="2" t="str">
        <f t="shared" si="449"/>
        <v>001</v>
      </c>
      <c r="I1420" s="2" t="str">
        <f t="shared" si="446"/>
        <v>4100401</v>
      </c>
      <c r="J1420" s="2">
        <f>28000</f>
        <v>28000</v>
      </c>
      <c r="K1420" s="2" t="str">
        <f t="shared" si="450"/>
        <v>台</v>
      </c>
      <c r="L1420" s="2" t="str">
        <f t="shared" si="448"/>
        <v>3630331</v>
      </c>
      <c r="M1420" s="2" t="str">
        <f>""</f>
        <v/>
      </c>
    </row>
    <row r="1421" spans="1:13" x14ac:dyDescent="0.15">
      <c r="A1421" s="2" t="str">
        <f t="shared" si="440"/>
        <v>1881110500</v>
      </c>
      <c r="B1421" s="2" t="str">
        <f t="shared" si="441"/>
        <v>佐伯・区政調整</v>
      </c>
      <c r="C1421" s="2" t="str">
        <f t="shared" si="452"/>
        <v>06ﾀ00401</v>
      </c>
      <c r="D1421" s="2" t="str">
        <f t="shared" si="453"/>
        <v>台車</v>
      </c>
      <c r="E1421" s="3" t="str">
        <f t="shared" si="451"/>
        <v>パイプ椅子用</v>
      </c>
      <c r="F1421" s="2" t="str">
        <f t="shared" si="445"/>
        <v>０００１</v>
      </c>
      <c r="G1421" s="2" t="str">
        <f>"3620004400"</f>
        <v>3620004400</v>
      </c>
      <c r="H1421" s="2" t="str">
        <f t="shared" si="449"/>
        <v>001</v>
      </c>
      <c r="I1421" s="2" t="str">
        <f t="shared" si="446"/>
        <v>4100401</v>
      </c>
      <c r="J1421" s="2">
        <f>28000</f>
        <v>28000</v>
      </c>
      <c r="K1421" s="2" t="str">
        <f t="shared" si="450"/>
        <v>台</v>
      </c>
      <c r="L1421" s="2" t="str">
        <f t="shared" si="448"/>
        <v>3630331</v>
      </c>
      <c r="M1421" s="2" t="str">
        <f>""</f>
        <v/>
      </c>
    </row>
    <row r="1422" spans="1:13" x14ac:dyDescent="0.15">
      <c r="A1422" s="2" t="str">
        <f t="shared" si="440"/>
        <v>1881110500</v>
      </c>
      <c r="B1422" s="2" t="str">
        <f t="shared" si="441"/>
        <v>佐伯・区政調整</v>
      </c>
      <c r="C1422" s="2" t="str">
        <f t="shared" si="452"/>
        <v>06ﾀ00401</v>
      </c>
      <c r="D1422" s="2" t="str">
        <f t="shared" si="453"/>
        <v>台車</v>
      </c>
      <c r="E1422" s="3" t="str">
        <f t="shared" si="451"/>
        <v>パイプ椅子用</v>
      </c>
      <c r="F1422" s="2" t="str">
        <f t="shared" si="445"/>
        <v>０００１</v>
      </c>
      <c r="G1422" s="2" t="str">
        <f>"3620004401"</f>
        <v>3620004401</v>
      </c>
      <c r="H1422" s="2" t="str">
        <f t="shared" si="449"/>
        <v>001</v>
      </c>
      <c r="I1422" s="2" t="str">
        <f t="shared" si="446"/>
        <v>4100401</v>
      </c>
      <c r="J1422" s="2">
        <f>28000</f>
        <v>28000</v>
      </c>
      <c r="K1422" s="2" t="str">
        <f t="shared" si="450"/>
        <v>台</v>
      </c>
      <c r="L1422" s="2" t="str">
        <f t="shared" si="448"/>
        <v>3630331</v>
      </c>
      <c r="M1422" s="2" t="str">
        <f>""</f>
        <v/>
      </c>
    </row>
    <row r="1423" spans="1:13" x14ac:dyDescent="0.15">
      <c r="A1423" s="2" t="str">
        <f t="shared" si="440"/>
        <v>1881110500</v>
      </c>
      <c r="B1423" s="2" t="str">
        <f t="shared" si="441"/>
        <v>佐伯・区政調整</v>
      </c>
      <c r="C1423" s="2" t="str">
        <f t="shared" si="452"/>
        <v>06ﾀ00401</v>
      </c>
      <c r="D1423" s="2" t="str">
        <f t="shared" si="453"/>
        <v>台車</v>
      </c>
      <c r="E1423" s="3" t="str">
        <f t="shared" si="451"/>
        <v>パイプ椅子用</v>
      </c>
      <c r="F1423" s="2" t="str">
        <f t="shared" si="445"/>
        <v>０００１</v>
      </c>
      <c r="G1423" s="2" t="str">
        <f>"3620004402"</f>
        <v>3620004402</v>
      </c>
      <c r="H1423" s="2" t="str">
        <f t="shared" si="449"/>
        <v>001</v>
      </c>
      <c r="I1423" s="2" t="str">
        <f t="shared" si="446"/>
        <v>4100401</v>
      </c>
      <c r="J1423" s="2">
        <f>28000</f>
        <v>28000</v>
      </c>
      <c r="K1423" s="2" t="str">
        <f t="shared" si="450"/>
        <v>台</v>
      </c>
      <c r="L1423" s="2" t="str">
        <f t="shared" si="448"/>
        <v>3630331</v>
      </c>
      <c r="M1423" s="2" t="str">
        <f>""</f>
        <v/>
      </c>
    </row>
    <row r="1424" spans="1:13" x14ac:dyDescent="0.15">
      <c r="A1424" s="2" t="str">
        <f t="shared" si="440"/>
        <v>1881110500</v>
      </c>
      <c r="B1424" s="2" t="str">
        <f t="shared" si="441"/>
        <v>佐伯・区政調整</v>
      </c>
      <c r="C1424" s="2" t="str">
        <f t="shared" si="452"/>
        <v>06ﾀ00401</v>
      </c>
      <c r="D1424" s="2" t="str">
        <f t="shared" si="453"/>
        <v>台車</v>
      </c>
      <c r="E1424" s="3" t="str">
        <f t="shared" si="451"/>
        <v>パイプ椅子用</v>
      </c>
      <c r="F1424" s="2" t="str">
        <f t="shared" si="445"/>
        <v>０００１</v>
      </c>
      <c r="G1424" s="2" t="str">
        <f>"3620004403"</f>
        <v>3620004403</v>
      </c>
      <c r="H1424" s="2" t="str">
        <f t="shared" si="449"/>
        <v>001</v>
      </c>
      <c r="I1424" s="2" t="str">
        <f t="shared" si="446"/>
        <v>4100401</v>
      </c>
      <c r="J1424" s="2">
        <f>28000</f>
        <v>28000</v>
      </c>
      <c r="K1424" s="2" t="str">
        <f t="shared" si="450"/>
        <v>台</v>
      </c>
      <c r="L1424" s="2" t="str">
        <f t="shared" si="448"/>
        <v>3630331</v>
      </c>
      <c r="M1424" s="2" t="str">
        <f>""</f>
        <v/>
      </c>
    </row>
    <row r="1425" spans="1:13" x14ac:dyDescent="0.15">
      <c r="A1425" s="2" t="str">
        <f t="shared" si="440"/>
        <v>1881110500</v>
      </c>
      <c r="B1425" s="2" t="str">
        <f t="shared" si="441"/>
        <v>佐伯・区政調整</v>
      </c>
      <c r="C1425" s="2" t="str">
        <f t="shared" si="452"/>
        <v>06ﾀ00401</v>
      </c>
      <c r="D1425" s="2" t="str">
        <f t="shared" si="453"/>
        <v>台車</v>
      </c>
      <c r="E1425" s="3" t="str">
        <f t="shared" si="451"/>
        <v>パイプ椅子用</v>
      </c>
      <c r="F1425" s="2" t="str">
        <f t="shared" si="445"/>
        <v>０００１</v>
      </c>
      <c r="G1425" s="2" t="str">
        <f>"3620004404"</f>
        <v>3620004404</v>
      </c>
      <c r="H1425" s="2" t="str">
        <f t="shared" si="449"/>
        <v>001</v>
      </c>
      <c r="I1425" s="2" t="str">
        <f t="shared" si="446"/>
        <v>4100401</v>
      </c>
      <c r="J1425" s="2">
        <f>28000</f>
        <v>28000</v>
      </c>
      <c r="K1425" s="2" t="str">
        <f t="shared" si="450"/>
        <v>台</v>
      </c>
      <c r="L1425" s="2" t="str">
        <f t="shared" si="448"/>
        <v>3630331</v>
      </c>
      <c r="M1425" s="2" t="str">
        <f>""</f>
        <v/>
      </c>
    </row>
    <row r="1426" spans="1:13" x14ac:dyDescent="0.15">
      <c r="A1426" s="2" t="str">
        <f t="shared" si="440"/>
        <v>1881110500</v>
      </c>
      <c r="B1426" s="2" t="str">
        <f t="shared" si="441"/>
        <v>佐伯・区政調整</v>
      </c>
      <c r="C1426" s="2" t="str">
        <f t="shared" si="452"/>
        <v>06ﾀ00401</v>
      </c>
      <c r="D1426" s="2" t="str">
        <f t="shared" si="453"/>
        <v>台車</v>
      </c>
      <c r="E1426" s="3" t="str">
        <f t="shared" si="451"/>
        <v>パイプ椅子用</v>
      </c>
      <c r="F1426" s="2" t="str">
        <f t="shared" si="445"/>
        <v>０００１</v>
      </c>
      <c r="G1426" s="2" t="str">
        <f>"3620004405"</f>
        <v>3620004405</v>
      </c>
      <c r="H1426" s="2" t="str">
        <f t="shared" si="449"/>
        <v>001</v>
      </c>
      <c r="I1426" s="2" t="str">
        <f t="shared" si="446"/>
        <v>4100401</v>
      </c>
      <c r="J1426" s="2">
        <f>28000</f>
        <v>28000</v>
      </c>
      <c r="K1426" s="2" t="str">
        <f t="shared" si="450"/>
        <v>台</v>
      </c>
      <c r="L1426" s="2" t="str">
        <f t="shared" si="448"/>
        <v>3630331</v>
      </c>
      <c r="M1426" s="2" t="str">
        <f>""</f>
        <v/>
      </c>
    </row>
    <row r="1427" spans="1:13" x14ac:dyDescent="0.15">
      <c r="A1427" s="2" t="str">
        <f t="shared" si="440"/>
        <v>1881110500</v>
      </c>
      <c r="B1427" s="2" t="str">
        <f t="shared" si="441"/>
        <v>佐伯・区政調整</v>
      </c>
      <c r="C1427" s="2" t="str">
        <f t="shared" si="452"/>
        <v>06ﾀ00401</v>
      </c>
      <c r="D1427" s="2" t="str">
        <f t="shared" si="453"/>
        <v>台車</v>
      </c>
      <c r="E1427" s="3" t="str">
        <f t="shared" si="451"/>
        <v>パイプ椅子用</v>
      </c>
      <c r="F1427" s="2" t="str">
        <f t="shared" si="445"/>
        <v>０００１</v>
      </c>
      <c r="G1427" s="2" t="str">
        <f>"3620004406"</f>
        <v>3620004406</v>
      </c>
      <c r="H1427" s="2" t="str">
        <f t="shared" si="449"/>
        <v>001</v>
      </c>
      <c r="I1427" s="2" t="str">
        <f t="shared" si="446"/>
        <v>4100401</v>
      </c>
      <c r="J1427" s="2">
        <f>28000</f>
        <v>28000</v>
      </c>
      <c r="K1427" s="2" t="str">
        <f t="shared" si="450"/>
        <v>台</v>
      </c>
      <c r="L1427" s="2" t="str">
        <f t="shared" si="448"/>
        <v>3630331</v>
      </c>
      <c r="M1427" s="2" t="str">
        <f>""</f>
        <v/>
      </c>
    </row>
    <row r="1428" spans="1:13" x14ac:dyDescent="0.15">
      <c r="A1428" s="2" t="str">
        <f t="shared" si="440"/>
        <v>1881110500</v>
      </c>
      <c r="B1428" s="2" t="str">
        <f t="shared" si="441"/>
        <v>佐伯・区政調整</v>
      </c>
      <c r="C1428" s="2" t="str">
        <f t="shared" si="452"/>
        <v>06ﾀ00401</v>
      </c>
      <c r="D1428" s="2" t="str">
        <f t="shared" si="453"/>
        <v>台車</v>
      </c>
      <c r="E1428" s="3" t="str">
        <f t="shared" si="451"/>
        <v>パイプ椅子用</v>
      </c>
      <c r="F1428" s="2" t="str">
        <f t="shared" si="445"/>
        <v>０００１</v>
      </c>
      <c r="G1428" s="2" t="str">
        <f>"3620004407"</f>
        <v>3620004407</v>
      </c>
      <c r="H1428" s="2" t="str">
        <f t="shared" si="449"/>
        <v>001</v>
      </c>
      <c r="I1428" s="2" t="str">
        <f t="shared" si="446"/>
        <v>4100401</v>
      </c>
      <c r="J1428" s="2">
        <f>28000</f>
        <v>28000</v>
      </c>
      <c r="K1428" s="2" t="str">
        <f t="shared" si="450"/>
        <v>台</v>
      </c>
      <c r="L1428" s="2" t="str">
        <f t="shared" si="448"/>
        <v>3630331</v>
      </c>
      <c r="M1428" s="2" t="str">
        <f>""</f>
        <v/>
      </c>
    </row>
    <row r="1429" spans="1:13" x14ac:dyDescent="0.15">
      <c r="A1429" s="2" t="str">
        <f t="shared" si="440"/>
        <v>1881110500</v>
      </c>
      <c r="B1429" s="2" t="str">
        <f t="shared" si="441"/>
        <v>佐伯・区政調整</v>
      </c>
      <c r="C1429" s="2" t="str">
        <f t="shared" si="452"/>
        <v>06ﾀ00401</v>
      </c>
      <c r="D1429" s="2" t="str">
        <f t="shared" si="453"/>
        <v>台車</v>
      </c>
      <c r="E1429" s="3" t="str">
        <f t="shared" si="451"/>
        <v>パイプ椅子用</v>
      </c>
      <c r="F1429" s="2" t="str">
        <f t="shared" si="445"/>
        <v>０００１</v>
      </c>
      <c r="G1429" s="2" t="str">
        <f>"3620004408"</f>
        <v>3620004408</v>
      </c>
      <c r="H1429" s="2" t="str">
        <f t="shared" si="449"/>
        <v>001</v>
      </c>
      <c r="I1429" s="2" t="str">
        <f t="shared" si="446"/>
        <v>4100401</v>
      </c>
      <c r="J1429" s="2">
        <f>28000</f>
        <v>28000</v>
      </c>
      <c r="K1429" s="2" t="str">
        <f t="shared" si="450"/>
        <v>台</v>
      </c>
      <c r="L1429" s="2" t="str">
        <f t="shared" si="448"/>
        <v>3630331</v>
      </c>
      <c r="M1429" s="2" t="str">
        <f>""</f>
        <v/>
      </c>
    </row>
    <row r="1430" spans="1:13" x14ac:dyDescent="0.15">
      <c r="A1430" s="2" t="str">
        <f t="shared" si="440"/>
        <v>1881110500</v>
      </c>
      <c r="B1430" s="2" t="str">
        <f t="shared" si="441"/>
        <v>佐伯・区政調整</v>
      </c>
      <c r="C1430" s="2" t="str">
        <f t="shared" si="452"/>
        <v>06ﾀ00401</v>
      </c>
      <c r="D1430" s="2" t="str">
        <f t="shared" si="453"/>
        <v>台車</v>
      </c>
      <c r="E1430" s="3" t="str">
        <f>"所作台ワゴン"</f>
        <v>所作台ワゴン</v>
      </c>
      <c r="F1430" s="2" t="str">
        <f t="shared" si="445"/>
        <v>０００１</v>
      </c>
      <c r="G1430" s="2" t="str">
        <f>"3620004409"</f>
        <v>3620004409</v>
      </c>
      <c r="H1430" s="2" t="str">
        <f t="shared" si="449"/>
        <v>001</v>
      </c>
      <c r="I1430" s="2" t="str">
        <f t="shared" si="446"/>
        <v>4100401</v>
      </c>
      <c r="J1430" s="2">
        <f>68000</f>
        <v>68000</v>
      </c>
      <c r="K1430" s="2" t="str">
        <f t="shared" si="450"/>
        <v>台</v>
      </c>
      <c r="L1430" s="2" t="str">
        <f t="shared" si="448"/>
        <v>3630331</v>
      </c>
      <c r="M1430" s="2" t="str">
        <f>""</f>
        <v/>
      </c>
    </row>
    <row r="1431" spans="1:13" x14ac:dyDescent="0.15">
      <c r="A1431" s="2" t="str">
        <f t="shared" si="440"/>
        <v>1881110500</v>
      </c>
      <c r="B1431" s="2" t="str">
        <f t="shared" si="441"/>
        <v>佐伯・区政調整</v>
      </c>
      <c r="C1431" s="2" t="str">
        <f t="shared" si="452"/>
        <v>06ﾀ00401</v>
      </c>
      <c r="D1431" s="2" t="str">
        <f t="shared" si="453"/>
        <v>台車</v>
      </c>
      <c r="E1431" s="3" t="str">
        <f>"所作台ワゴン"</f>
        <v>所作台ワゴン</v>
      </c>
      <c r="F1431" s="2" t="str">
        <f t="shared" si="445"/>
        <v>０００１</v>
      </c>
      <c r="G1431" s="2" t="str">
        <f>"3620004410"</f>
        <v>3620004410</v>
      </c>
      <c r="H1431" s="2" t="str">
        <f t="shared" si="449"/>
        <v>001</v>
      </c>
      <c r="I1431" s="2" t="str">
        <f t="shared" si="446"/>
        <v>4100401</v>
      </c>
      <c r="J1431" s="2">
        <f>68000</f>
        <v>68000</v>
      </c>
      <c r="K1431" s="2" t="str">
        <f t="shared" si="450"/>
        <v>台</v>
      </c>
      <c r="L1431" s="2" t="str">
        <f t="shared" si="448"/>
        <v>3630331</v>
      </c>
      <c r="M1431" s="2" t="str">
        <f>""</f>
        <v/>
      </c>
    </row>
    <row r="1432" spans="1:13" x14ac:dyDescent="0.15">
      <c r="A1432" s="2" t="str">
        <f t="shared" si="440"/>
        <v>1881110500</v>
      </c>
      <c r="B1432" s="2" t="str">
        <f t="shared" si="441"/>
        <v>佐伯・区政調整</v>
      </c>
      <c r="C1432" s="2" t="str">
        <f t="shared" si="452"/>
        <v>06ﾀ00401</v>
      </c>
      <c r="D1432" s="2" t="str">
        <f t="shared" si="453"/>
        <v>台車</v>
      </c>
      <c r="E1432" s="3" t="str">
        <f>"所作台ワゴン"</f>
        <v>所作台ワゴン</v>
      </c>
      <c r="F1432" s="2" t="str">
        <f t="shared" si="445"/>
        <v>０００１</v>
      </c>
      <c r="G1432" s="2" t="str">
        <f>"3620004411"</f>
        <v>3620004411</v>
      </c>
      <c r="H1432" s="2" t="str">
        <f t="shared" si="449"/>
        <v>001</v>
      </c>
      <c r="I1432" s="2" t="str">
        <f t="shared" si="446"/>
        <v>4100401</v>
      </c>
      <c r="J1432" s="2">
        <f>68000</f>
        <v>68000</v>
      </c>
      <c r="K1432" s="2" t="str">
        <f t="shared" si="450"/>
        <v>台</v>
      </c>
      <c r="L1432" s="2" t="str">
        <f t="shared" si="448"/>
        <v>3630331</v>
      </c>
      <c r="M1432" s="2" t="str">
        <f>""</f>
        <v/>
      </c>
    </row>
    <row r="1433" spans="1:13" x14ac:dyDescent="0.15">
      <c r="A1433" s="2" t="str">
        <f t="shared" si="440"/>
        <v>1881110500</v>
      </c>
      <c r="B1433" s="2" t="str">
        <f t="shared" si="441"/>
        <v>佐伯・区政調整</v>
      </c>
      <c r="C1433" s="2" t="str">
        <f t="shared" si="452"/>
        <v>06ﾀ00401</v>
      </c>
      <c r="D1433" s="2" t="str">
        <f t="shared" si="453"/>
        <v>台車</v>
      </c>
      <c r="E1433" s="3" t="str">
        <f>"平台ワゴン"</f>
        <v>平台ワゴン</v>
      </c>
      <c r="F1433" s="2" t="str">
        <f t="shared" si="445"/>
        <v>０００１</v>
      </c>
      <c r="G1433" s="2" t="str">
        <f>"3620004412"</f>
        <v>3620004412</v>
      </c>
      <c r="H1433" s="2" t="str">
        <f t="shared" si="449"/>
        <v>001</v>
      </c>
      <c r="I1433" s="2" t="str">
        <f t="shared" si="446"/>
        <v>4100401</v>
      </c>
      <c r="J1433" s="2">
        <f>53200</f>
        <v>53200</v>
      </c>
      <c r="K1433" s="2" t="str">
        <f t="shared" si="450"/>
        <v>台</v>
      </c>
      <c r="L1433" s="2" t="str">
        <f t="shared" si="448"/>
        <v>3630331</v>
      </c>
      <c r="M1433" s="2" t="str">
        <f>""</f>
        <v/>
      </c>
    </row>
    <row r="1434" spans="1:13" x14ac:dyDescent="0.15">
      <c r="A1434" s="2" t="str">
        <f t="shared" si="440"/>
        <v>1881110500</v>
      </c>
      <c r="B1434" s="2" t="str">
        <f t="shared" si="441"/>
        <v>佐伯・区政調整</v>
      </c>
      <c r="C1434" s="2" t="str">
        <f t="shared" si="452"/>
        <v>06ﾀ00401</v>
      </c>
      <c r="D1434" s="2" t="str">
        <f t="shared" si="453"/>
        <v>台車</v>
      </c>
      <c r="E1434" s="3" t="str">
        <f>"ロアーホリゾント隠し"</f>
        <v>ロアーホリゾント隠し</v>
      </c>
      <c r="F1434" s="2" t="str">
        <f t="shared" si="445"/>
        <v>０００１</v>
      </c>
      <c r="G1434" s="2" t="str">
        <f>"3620004413"</f>
        <v>3620004413</v>
      </c>
      <c r="H1434" s="2" t="str">
        <f t="shared" si="449"/>
        <v>001</v>
      </c>
      <c r="I1434" s="2" t="str">
        <f t="shared" si="446"/>
        <v>4100401</v>
      </c>
      <c r="J1434" s="2">
        <f>80000</f>
        <v>80000</v>
      </c>
      <c r="K1434" s="2" t="str">
        <f t="shared" si="450"/>
        <v>台</v>
      </c>
      <c r="L1434" s="2" t="str">
        <f t="shared" si="448"/>
        <v>3630331</v>
      </c>
      <c r="M1434" s="2" t="str">
        <f>""</f>
        <v/>
      </c>
    </row>
    <row r="1435" spans="1:13" x14ac:dyDescent="0.15">
      <c r="A1435" s="2" t="str">
        <f t="shared" si="440"/>
        <v>1881110500</v>
      </c>
      <c r="B1435" s="2" t="str">
        <f t="shared" si="441"/>
        <v>佐伯・区政調整</v>
      </c>
      <c r="C1435" s="2" t="str">
        <f t="shared" si="452"/>
        <v>06ﾀ00401</v>
      </c>
      <c r="D1435" s="2" t="str">
        <f t="shared" si="453"/>
        <v>台車</v>
      </c>
      <c r="E1435" s="3" t="str">
        <f>"ロアーホリゾント隠し"</f>
        <v>ロアーホリゾント隠し</v>
      </c>
      <c r="F1435" s="2" t="str">
        <f t="shared" si="445"/>
        <v>０００１</v>
      </c>
      <c r="G1435" s="2" t="str">
        <f>"3620004414"</f>
        <v>3620004414</v>
      </c>
      <c r="H1435" s="2" t="str">
        <f t="shared" si="449"/>
        <v>001</v>
      </c>
      <c r="I1435" s="2" t="str">
        <f t="shared" si="446"/>
        <v>4100401</v>
      </c>
      <c r="J1435" s="2">
        <f>80000</f>
        <v>80000</v>
      </c>
      <c r="K1435" s="2" t="str">
        <f t="shared" si="450"/>
        <v>台</v>
      </c>
      <c r="L1435" s="2" t="str">
        <f t="shared" si="448"/>
        <v>3630331</v>
      </c>
      <c r="M1435" s="2" t="str">
        <f>""</f>
        <v/>
      </c>
    </row>
    <row r="1436" spans="1:13" x14ac:dyDescent="0.15">
      <c r="A1436" s="2" t="str">
        <f t="shared" si="440"/>
        <v>1881110500</v>
      </c>
      <c r="B1436" s="2" t="str">
        <f t="shared" si="441"/>
        <v>佐伯・区政調整</v>
      </c>
      <c r="C1436" s="2" t="str">
        <f t="shared" si="452"/>
        <v>06ﾀ00401</v>
      </c>
      <c r="D1436" s="2" t="str">
        <f t="shared" si="453"/>
        <v>台車</v>
      </c>
      <c r="E1436" s="3" t="str">
        <f>"ロアーホリゾント隠し"</f>
        <v>ロアーホリゾント隠し</v>
      </c>
      <c r="F1436" s="2" t="str">
        <f t="shared" si="445"/>
        <v>０００１</v>
      </c>
      <c r="G1436" s="2" t="str">
        <f>"3620004415"</f>
        <v>3620004415</v>
      </c>
      <c r="H1436" s="2" t="str">
        <f t="shared" ref="H1436:H1442" si="454">"001"</f>
        <v>001</v>
      </c>
      <c r="I1436" s="2" t="str">
        <f t="shared" si="446"/>
        <v>4100401</v>
      </c>
      <c r="J1436" s="2">
        <f>80000</f>
        <v>80000</v>
      </c>
      <c r="K1436" s="2" t="str">
        <f t="shared" si="450"/>
        <v>台</v>
      </c>
      <c r="L1436" s="2" t="str">
        <f t="shared" si="448"/>
        <v>3630331</v>
      </c>
      <c r="M1436" s="2" t="str">
        <f>""</f>
        <v/>
      </c>
    </row>
    <row r="1437" spans="1:13" x14ac:dyDescent="0.15">
      <c r="A1437" s="2" t="str">
        <f t="shared" si="440"/>
        <v>1881110500</v>
      </c>
      <c r="B1437" s="2" t="str">
        <f t="shared" si="441"/>
        <v>佐伯・区政調整</v>
      </c>
      <c r="C1437" s="2" t="str">
        <f t="shared" si="452"/>
        <v>06ﾀ00401</v>
      </c>
      <c r="D1437" s="2" t="str">
        <f t="shared" si="453"/>
        <v>台車</v>
      </c>
      <c r="E1437" s="3" t="str">
        <f>"ロアーホリゾント隠し"</f>
        <v>ロアーホリゾント隠し</v>
      </c>
      <c r="F1437" s="2" t="str">
        <f t="shared" si="445"/>
        <v>０００１</v>
      </c>
      <c r="G1437" s="2" t="str">
        <f>"3620004416"</f>
        <v>3620004416</v>
      </c>
      <c r="H1437" s="2" t="str">
        <f t="shared" si="454"/>
        <v>001</v>
      </c>
      <c r="I1437" s="2" t="str">
        <f t="shared" si="446"/>
        <v>4100401</v>
      </c>
      <c r="J1437" s="2">
        <f>80000</f>
        <v>80000</v>
      </c>
      <c r="K1437" s="2" t="str">
        <f t="shared" si="450"/>
        <v>台</v>
      </c>
      <c r="L1437" s="2" t="str">
        <f t="shared" si="448"/>
        <v>3630331</v>
      </c>
      <c r="M1437" s="2" t="str">
        <f>""</f>
        <v/>
      </c>
    </row>
    <row r="1438" spans="1:13" x14ac:dyDescent="0.15">
      <c r="A1438" s="2" t="str">
        <f t="shared" si="440"/>
        <v>1881110500</v>
      </c>
      <c r="B1438" s="2" t="str">
        <f t="shared" si="441"/>
        <v>佐伯・区政調整</v>
      </c>
      <c r="C1438" s="2" t="str">
        <f t="shared" si="452"/>
        <v>06ﾀ00401</v>
      </c>
      <c r="D1438" s="2" t="str">
        <f t="shared" si="453"/>
        <v>台車</v>
      </c>
      <c r="E1438" s="3" t="str">
        <f>"グランドピアノ運搬車　ヤマハＣＧＰ－Ⅲ"</f>
        <v>グランドピアノ運搬車　ヤマハＣＧＰ－Ⅲ</v>
      </c>
      <c r="F1438" s="2" t="str">
        <f t="shared" si="445"/>
        <v>０００１</v>
      </c>
      <c r="G1438" s="2" t="str">
        <f>"4260002651"</f>
        <v>4260002651</v>
      </c>
      <c r="H1438" s="2" t="str">
        <f t="shared" si="454"/>
        <v>001</v>
      </c>
      <c r="I1438" s="2" t="str">
        <f>"4260401"</f>
        <v>4260401</v>
      </c>
      <c r="J1438" s="2">
        <f>483000</f>
        <v>483000</v>
      </c>
      <c r="K1438" s="2" t="str">
        <f t="shared" si="450"/>
        <v>台</v>
      </c>
      <c r="L1438" s="2" t="str">
        <f>"4260401"</f>
        <v>4260401</v>
      </c>
      <c r="M1438" s="2" t="str">
        <f>"4260401"</f>
        <v>4260401</v>
      </c>
    </row>
    <row r="1439" spans="1:13" x14ac:dyDescent="0.15">
      <c r="A1439" s="2" t="str">
        <f t="shared" si="440"/>
        <v>1881110500</v>
      </c>
      <c r="B1439" s="2" t="str">
        <f t="shared" si="441"/>
        <v>佐伯・区政調整</v>
      </c>
      <c r="C1439" s="2" t="str">
        <f>"07ｵ00101"</f>
        <v>07ｵ00101</v>
      </c>
      <c r="D1439" s="2" t="str">
        <f>"置物"</f>
        <v>置物</v>
      </c>
      <c r="E1439" s="3" t="str">
        <f>"彫刻品「鳳凰」"</f>
        <v>彫刻品「鳳凰」</v>
      </c>
      <c r="F1439" s="2" t="str">
        <f t="shared" si="445"/>
        <v>０００１</v>
      </c>
      <c r="G1439" s="2" t="str">
        <f>"4190005499"</f>
        <v>4190005499</v>
      </c>
      <c r="H1439" s="2" t="str">
        <f t="shared" si="454"/>
        <v>001</v>
      </c>
      <c r="I1439" s="2" t="str">
        <f>"4200324"</f>
        <v>4200324</v>
      </c>
      <c r="J1439" s="2">
        <f>900000</f>
        <v>900000</v>
      </c>
      <c r="K1439" s="2" t="str">
        <f>"個"</f>
        <v>個</v>
      </c>
      <c r="L1439" s="2" t="str">
        <f>"4200324"</f>
        <v>4200324</v>
      </c>
      <c r="M1439" s="2" t="str">
        <f>"4200324"</f>
        <v>4200324</v>
      </c>
    </row>
    <row r="1440" spans="1:13" x14ac:dyDescent="0.15">
      <c r="A1440" s="2" t="str">
        <f t="shared" ref="A1440:A1443" si="455">"1881110500"</f>
        <v>1881110500</v>
      </c>
      <c r="B1440" s="2" t="str">
        <f t="shared" ref="B1440:B1443" si="456">"佐伯・区政調整"</f>
        <v>佐伯・区政調整</v>
      </c>
      <c r="C1440" s="2" t="str">
        <f>"07ｶ00201"</f>
        <v>07ｶ00201</v>
      </c>
      <c r="D1440" s="2" t="str">
        <f>"掛軸"</f>
        <v>掛軸</v>
      </c>
      <c r="E1440" s="3" t="str">
        <f>"風鎮付"</f>
        <v>風鎮付</v>
      </c>
      <c r="F1440" s="2" t="str">
        <f>"０００１"</f>
        <v>０００１</v>
      </c>
      <c r="G1440" s="2" t="str">
        <f>"3620004417"</f>
        <v>3620004417</v>
      </c>
      <c r="H1440" s="2" t="str">
        <f t="shared" si="454"/>
        <v>001</v>
      </c>
      <c r="I1440" s="2" t="str">
        <f>"4100401"</f>
        <v>4100401</v>
      </c>
      <c r="J1440" s="2">
        <f>58000</f>
        <v>58000</v>
      </c>
      <c r="K1440" s="2" t="str">
        <f>"幅"</f>
        <v>幅</v>
      </c>
      <c r="L1440" s="2" t="str">
        <f>"3630331"</f>
        <v>3630331</v>
      </c>
      <c r="M1440" s="2" t="str">
        <f>""</f>
        <v/>
      </c>
    </row>
    <row r="1441" spans="1:13" x14ac:dyDescent="0.15">
      <c r="A1441" s="2" t="str">
        <f t="shared" si="455"/>
        <v>1881110500</v>
      </c>
      <c r="B1441" s="2" t="str">
        <f t="shared" si="456"/>
        <v>佐伯・区政調整</v>
      </c>
      <c r="C1441" s="2" t="str">
        <f>"07ｶ00201"</f>
        <v>07ｶ00201</v>
      </c>
      <c r="D1441" s="2" t="str">
        <f>"掛軸"</f>
        <v>掛軸</v>
      </c>
      <c r="E1441" s="3" t="str">
        <f>"風鎮付"</f>
        <v>風鎮付</v>
      </c>
      <c r="F1441" s="2" t="str">
        <f>"０００１"</f>
        <v>０００１</v>
      </c>
      <c r="G1441" s="2" t="str">
        <f>"3620004418"</f>
        <v>3620004418</v>
      </c>
      <c r="H1441" s="2" t="str">
        <f t="shared" si="454"/>
        <v>001</v>
      </c>
      <c r="I1441" s="2" t="str">
        <f>"4100401"</f>
        <v>4100401</v>
      </c>
      <c r="J1441" s="2">
        <f>58000</f>
        <v>58000</v>
      </c>
      <c r="K1441" s="2" t="str">
        <f>"幅"</f>
        <v>幅</v>
      </c>
      <c r="L1441" s="2" t="str">
        <f>"3630331"</f>
        <v>3630331</v>
      </c>
      <c r="M1441" s="2" t="str">
        <f>""</f>
        <v/>
      </c>
    </row>
    <row r="1442" spans="1:13" x14ac:dyDescent="0.15">
      <c r="A1442" s="2" t="str">
        <f t="shared" si="455"/>
        <v>1881110500</v>
      </c>
      <c r="B1442" s="2" t="str">
        <f t="shared" si="456"/>
        <v>佐伯・区政調整</v>
      </c>
      <c r="C1442" s="2" t="str">
        <f>"07ﾁ00101"</f>
        <v>07ﾁ00101</v>
      </c>
      <c r="D1442" s="2" t="str">
        <f>"彫刻"</f>
        <v>彫刻</v>
      </c>
      <c r="E1442" s="3" t="str">
        <f>"白御影石「つくねがうみ」　創作委託"</f>
        <v>白御影石「つくねがうみ」　創作委託</v>
      </c>
      <c r="F1442" s="2" t="str">
        <f>"０００１"</f>
        <v>０００１</v>
      </c>
      <c r="G1442" s="2" t="str">
        <f>"3630009303"</f>
        <v>3630009303</v>
      </c>
      <c r="H1442" s="2" t="str">
        <f t="shared" si="454"/>
        <v>001</v>
      </c>
      <c r="I1442" s="2" t="str">
        <f>"4100401"</f>
        <v>4100401</v>
      </c>
      <c r="J1442" s="2">
        <f>4000000</f>
        <v>4000000</v>
      </c>
      <c r="K1442" s="2" t="str">
        <f>"個"</f>
        <v>個</v>
      </c>
      <c r="L1442" s="2" t="str">
        <f>"4010327"</f>
        <v>4010327</v>
      </c>
      <c r="M1442" s="2" t="str">
        <f>""</f>
        <v/>
      </c>
    </row>
    <row r="1443" spans="1:13" x14ac:dyDescent="0.15">
      <c r="A1443" s="2" t="str">
        <f t="shared" si="455"/>
        <v>1881110500</v>
      </c>
      <c r="B1443" s="2" t="str">
        <f t="shared" si="456"/>
        <v>佐伯・区政調整</v>
      </c>
      <c r="C1443" s="2" t="str">
        <f>"10ｲ00309"</f>
        <v>10ｲ00309</v>
      </c>
      <c r="D1443" s="2" t="str">
        <f>"ピアノ用椅子"</f>
        <v>ピアノ用椅子</v>
      </c>
      <c r="E1443" s="3" t="str">
        <f>"ヤマハピアノ専用椅子　№１５０"</f>
        <v>ヤマハピアノ専用椅子　№１５０</v>
      </c>
      <c r="F1443" s="2" t="str">
        <f>"０００１"</f>
        <v>０００１</v>
      </c>
      <c r="G1443" s="2" t="str">
        <f>"4260004517"</f>
        <v>4260004517</v>
      </c>
      <c r="H1443" s="2" t="str">
        <f t="shared" ref="H1443" si="457">"001"</f>
        <v>001</v>
      </c>
      <c r="I1443" s="2" t="str">
        <f>"4261206"</f>
        <v>4261206</v>
      </c>
      <c r="J1443" s="2">
        <f>136000</f>
        <v>136000</v>
      </c>
      <c r="K1443" s="2" t="str">
        <f>"脚"</f>
        <v>脚</v>
      </c>
      <c r="L1443" s="2" t="str">
        <f>"4261206"</f>
        <v>4261206</v>
      </c>
      <c r="M1443" s="2" t="str">
        <f>"4261206"</f>
        <v>4261206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備品一覧_20190823_50922106_佐伯区民文化セン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2019-08-23T01:18:53Z</dcterms:created>
  <dcterms:modified xsi:type="dcterms:W3CDTF">2019-08-23T02:22:51Z</dcterms:modified>
</cp:coreProperties>
</file>