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5601"/>
  <workbookPr codeName="ThisWorkbook" defaultThemeVersion="124226"/>
  <xr:revisionPtr xr6:coauthVersionLast="47" xr6:coauthVersionMax="47" documentId="13_ncr:1_{8E2116A7-AEB8-4563-A578-2F68F8ED3641}" revIDLastSave="0" xr10:uidLastSave="{00000000-0000-0000-0000-000000000000}"/>
  <workbookProtection lockStructure="1" workbookAlgorithmName="SHA-512" workbookHashValue="dxUB1nWXBvAhpWcY6BxRrRld4S/iLNPCjkjnOpUMNugDDLLA6OI0Y+KeSPIv5BWEQ0YOsMkZbpPc4IKxDt/CPQ==" workbookSaltValue="WYLE/o+gXIv2uQ11o3+5hA==" workbookSpinCount="100000"/>
  <bookViews>
    <workbookView xr2:uid="{00000000-000D-0000-FFFF-FFFF00000000}" windowHeight="10300" windowWidth="19420" xWindow="-19310" yWindow="600"/>
  </bookViews>
  <sheets>
    <sheet r:id="rId1" name="使い方" sheetId="9"/>
    <sheet r:id="rId2" name="計算" sheetId="3"/>
    <sheet r:id="rId3" name="表" sheetId="4" state="hidden"/>
  </sheets>
  <definedNames>
    <definedName localSheetId="1" name="_xlnm.Print_Area">計算!$A$1:$AC$47</definedName>
    <definedName localSheetId="2" name="_xlnm.Print_Area">表!$A$1:$U$121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3" i="3" l="1"/>
  <c r="B119" i="4"/>
  <c r="B110" i="4"/>
  <c r="B101" i="4"/>
  <c r="B92" i="4"/>
  <c r="B83" i="4"/>
  <c r="E47" i="4" l="1"/>
  <c r="E44" i="4" s="1"/>
  <c r="R18" i="3" l="1"/>
  <c r="R14" i="3"/>
  <c r="V15" i="3" l="1"/>
  <c r="T15" i="3"/>
  <c r="V11" i="3"/>
  <c r="T11" i="3"/>
  <c r="B74" i="4" l="1"/>
  <c r="O5" i="4" l="1"/>
  <c r="AM4" i="4"/>
  <c r="AM3" i="4"/>
  <c r="R25" i="4" l="1"/>
  <c r="R21" i="4"/>
  <c r="R24" i="4"/>
  <c r="R20" i="4"/>
  <c r="R23" i="4"/>
  <c r="R22" i="4"/>
  <c r="L22" i="3"/>
  <c r="L20" i="3"/>
  <c r="L18" i="3"/>
  <c r="L16" i="3"/>
  <c r="L14" i="3"/>
  <c r="L12" i="3"/>
  <c r="AA2" i="4" l="1"/>
  <c r="O2" i="4" l="1"/>
  <c r="O3" i="4" s="1"/>
  <c r="O24" i="4" l="1"/>
  <c r="O25" i="4"/>
  <c r="O21" i="4"/>
  <c r="O20" i="4"/>
  <c r="O23" i="4"/>
  <c r="O22" i="4"/>
  <c r="C19" i="3" l="1"/>
  <c r="C23" i="3"/>
  <c r="P25" i="4"/>
  <c r="C21" i="3"/>
  <c r="P24" i="4"/>
  <c r="P23" i="4"/>
  <c r="C17" i="3"/>
  <c r="P22" i="4"/>
  <c r="P21" i="4"/>
  <c r="C15" i="3"/>
  <c r="C13" i="3"/>
  <c r="P20" i="4"/>
  <c r="D12" i="4" l="1"/>
  <c r="D13" i="4"/>
  <c r="D14" i="4"/>
  <c r="D15" i="4"/>
  <c r="D16" i="4"/>
  <c r="D11" i="4"/>
  <c r="D17" i="4" l="1"/>
  <c r="L32" i="4"/>
  <c r="G33" i="4" l="1"/>
  <c r="H29" i="4"/>
  <c r="L34" i="4"/>
  <c r="G34" i="4" l="1"/>
  <c r="K34" i="4" l="1"/>
  <c r="K37" i="4" l="1"/>
  <c r="K40" i="4" s="1"/>
  <c r="J37" i="4"/>
  <c r="J47" i="4" s="1"/>
  <c r="I37" i="4"/>
  <c r="E37" i="4"/>
  <c r="E40" i="4" s="1"/>
  <c r="D37" i="4"/>
  <c r="C37" i="4"/>
  <c r="B46" i="4" s="1"/>
  <c r="C40" i="4" l="1"/>
  <c r="B49" i="4" s="1"/>
  <c r="D40" i="4"/>
  <c r="C49" i="4" s="1"/>
  <c r="C46" i="4"/>
  <c r="J40" i="4"/>
  <c r="J44" i="4"/>
  <c r="I46" i="4"/>
  <c r="I42" i="4"/>
  <c r="J48" i="4"/>
  <c r="D38" i="4"/>
  <c r="C47" i="4" s="1"/>
  <c r="E38" i="4"/>
  <c r="I40" i="4"/>
  <c r="I44" i="4"/>
  <c r="I48" i="4"/>
  <c r="J41" i="4"/>
  <c r="J45" i="4"/>
  <c r="K38" i="4"/>
  <c r="I39" i="4"/>
  <c r="I43" i="4"/>
  <c r="I47" i="4"/>
  <c r="C38" i="4"/>
  <c r="B47" i="4" s="1"/>
  <c r="C39" i="4"/>
  <c r="B48" i="4" s="1"/>
  <c r="E39" i="4"/>
  <c r="K39" i="4"/>
  <c r="D39" i="4"/>
  <c r="C48" i="4" s="1"/>
  <c r="I41" i="4"/>
  <c r="I45" i="4"/>
  <c r="J38" i="4"/>
  <c r="J42" i="4"/>
  <c r="J46" i="4"/>
  <c r="I38" i="4"/>
  <c r="J39" i="4"/>
  <c r="J43" i="4"/>
  <c r="H28" i="4"/>
  <c r="I27" i="4"/>
  <c r="H27" i="4"/>
  <c r="C25" i="3" l="1"/>
  <c r="P16" i="4"/>
  <c r="J23" i="3" s="1"/>
  <c r="P15" i="4"/>
  <c r="J21" i="3" s="1"/>
  <c r="P14" i="4"/>
  <c r="J19" i="3" s="1"/>
  <c r="P13" i="4"/>
  <c r="J17" i="3" s="1"/>
  <c r="P12" i="4"/>
  <c r="J15" i="3" s="1"/>
  <c r="P11" i="4"/>
  <c r="N16" i="4"/>
  <c r="B116" i="4" s="1"/>
  <c r="N15" i="4"/>
  <c r="B107" i="4" s="1"/>
  <c r="N34" i="3"/>
  <c r="I34" i="3"/>
  <c r="F34" i="3"/>
  <c r="D34" i="3"/>
  <c r="N33" i="3"/>
  <c r="I33" i="3"/>
  <c r="F33" i="3"/>
  <c r="D33" i="3"/>
  <c r="N32" i="3"/>
  <c r="I32" i="3"/>
  <c r="F32" i="3"/>
  <c r="D32" i="3"/>
  <c r="N31" i="3"/>
  <c r="AB25" i="3"/>
  <c r="Z21" i="3"/>
  <c r="Z17" i="3"/>
  <c r="Z13" i="3"/>
  <c r="X9" i="3"/>
  <c r="N14" i="4"/>
  <c r="B98" i="4" s="1"/>
  <c r="N13" i="4"/>
  <c r="B89" i="4" s="1"/>
  <c r="N12" i="4"/>
  <c r="B80" i="4" s="1"/>
  <c r="N11" i="4"/>
  <c r="B71" i="4" s="1"/>
  <c r="L16" i="4"/>
  <c r="B58" i="4" s="1"/>
  <c r="L15" i="4"/>
  <c r="B57" i="4" s="1"/>
  <c r="L14" i="4"/>
  <c r="B56" i="4" s="1"/>
  <c r="L13" i="4"/>
  <c r="B55" i="4" s="1"/>
  <c r="L12" i="4"/>
  <c r="B54" i="4" s="1"/>
  <c r="L11" i="4"/>
  <c r="B53" i="4" s="1"/>
  <c r="R58" i="4" l="1"/>
  <c r="C117" i="4" s="1"/>
  <c r="R56" i="4"/>
  <c r="R57" i="4"/>
  <c r="C108" i="4" s="1"/>
  <c r="R55" i="4"/>
  <c r="C90" i="4" s="1"/>
  <c r="R54" i="4"/>
  <c r="C81" i="4" s="1"/>
  <c r="R53" i="4"/>
  <c r="C99" i="4"/>
  <c r="F54" i="4"/>
  <c r="F53" i="4"/>
  <c r="Q54" i="4"/>
  <c r="F58" i="4"/>
  <c r="P54" i="4"/>
  <c r="F57" i="4"/>
  <c r="O54" i="4"/>
  <c r="F56" i="4"/>
  <c r="N54" i="4"/>
  <c r="F55" i="4"/>
  <c r="M54" i="4"/>
  <c r="L61" i="4"/>
  <c r="L57" i="4"/>
  <c r="L63" i="4"/>
  <c r="L62" i="4"/>
  <c r="L54" i="4"/>
  <c r="L53" i="4"/>
  <c r="J53" i="4" s="1"/>
  <c r="Q11" i="4" s="1"/>
  <c r="L60" i="4"/>
  <c r="L56" i="4"/>
  <c r="L59" i="4"/>
  <c r="L55" i="4"/>
  <c r="L58" i="4"/>
  <c r="P60" i="4"/>
  <c r="P56" i="4"/>
  <c r="P58" i="4"/>
  <c r="P57" i="4"/>
  <c r="P63" i="4"/>
  <c r="P59" i="4"/>
  <c r="P55" i="4"/>
  <c r="P62" i="4"/>
  <c r="P53" i="4"/>
  <c r="J57" i="4" s="1"/>
  <c r="P61" i="4"/>
  <c r="M62" i="4"/>
  <c r="M58" i="4"/>
  <c r="M53" i="4"/>
  <c r="M56" i="4"/>
  <c r="M59" i="4"/>
  <c r="M55" i="4"/>
  <c r="M61" i="4"/>
  <c r="M57" i="4"/>
  <c r="M60" i="4"/>
  <c r="M63" i="4"/>
  <c r="Q62" i="4"/>
  <c r="Q58" i="4"/>
  <c r="Q53" i="4"/>
  <c r="J58" i="4" s="1"/>
  <c r="Q56" i="4"/>
  <c r="Q61" i="4"/>
  <c r="Q57" i="4"/>
  <c r="Q60" i="4"/>
  <c r="Q63" i="4"/>
  <c r="Q59" i="4"/>
  <c r="Q55" i="4"/>
  <c r="N60" i="4"/>
  <c r="N56" i="4"/>
  <c r="N62" i="4"/>
  <c r="N53" i="4"/>
  <c r="J55" i="4" s="1"/>
  <c r="N61" i="4"/>
  <c r="N57" i="4"/>
  <c r="N63" i="4"/>
  <c r="N59" i="4"/>
  <c r="N55" i="4"/>
  <c r="N58" i="4"/>
  <c r="O62" i="4"/>
  <c r="O58" i="4"/>
  <c r="O53" i="4"/>
  <c r="J56" i="4" s="1"/>
  <c r="O60" i="4"/>
  <c r="O59" i="4"/>
  <c r="O61" i="4"/>
  <c r="O57" i="4"/>
  <c r="O56" i="4"/>
  <c r="O63" i="4"/>
  <c r="O55" i="4"/>
  <c r="J121" i="4"/>
  <c r="I120" i="4"/>
  <c r="K118" i="4"/>
  <c r="J117" i="4"/>
  <c r="I116" i="4"/>
  <c r="G120" i="4"/>
  <c r="F119" i="4"/>
  <c r="E118" i="4"/>
  <c r="G116" i="4"/>
  <c r="I121" i="4"/>
  <c r="K119" i="4"/>
  <c r="J118" i="4"/>
  <c r="I117" i="4"/>
  <c r="G121" i="4"/>
  <c r="F120" i="4"/>
  <c r="E119" i="4"/>
  <c r="G117" i="4"/>
  <c r="F116" i="4"/>
  <c r="K120" i="4"/>
  <c r="J119" i="4"/>
  <c r="I118" i="4"/>
  <c r="K116" i="4"/>
  <c r="F121" i="4"/>
  <c r="E120" i="4"/>
  <c r="G118" i="4"/>
  <c r="F117" i="4"/>
  <c r="E116" i="4"/>
  <c r="J120" i="4"/>
  <c r="I119" i="4"/>
  <c r="J116" i="4"/>
  <c r="E121" i="4"/>
  <c r="F118" i="4"/>
  <c r="E117" i="4"/>
  <c r="K121" i="4"/>
  <c r="K117" i="4"/>
  <c r="G119" i="4"/>
  <c r="K112" i="4"/>
  <c r="J111" i="4"/>
  <c r="I110" i="4"/>
  <c r="K108" i="4"/>
  <c r="J107" i="4"/>
  <c r="E112" i="4"/>
  <c r="G110" i="4"/>
  <c r="F109" i="4"/>
  <c r="E108" i="4"/>
  <c r="E107" i="4"/>
  <c r="J112" i="4"/>
  <c r="I111" i="4"/>
  <c r="K109" i="4"/>
  <c r="J108" i="4"/>
  <c r="I107" i="4"/>
  <c r="G111" i="4"/>
  <c r="F110" i="4"/>
  <c r="E109" i="4"/>
  <c r="G107" i="4"/>
  <c r="J110" i="4"/>
  <c r="I109" i="4"/>
  <c r="F112" i="4"/>
  <c r="G109" i="4"/>
  <c r="I112" i="4"/>
  <c r="K110" i="4"/>
  <c r="J109" i="4"/>
  <c r="I108" i="4"/>
  <c r="G112" i="4"/>
  <c r="F111" i="4"/>
  <c r="E110" i="4"/>
  <c r="G108" i="4"/>
  <c r="F107" i="4"/>
  <c r="K111" i="4"/>
  <c r="K107" i="4"/>
  <c r="E111" i="4"/>
  <c r="F108" i="4"/>
  <c r="I103" i="4"/>
  <c r="K102" i="4"/>
  <c r="J101" i="4"/>
  <c r="I100" i="4"/>
  <c r="J98" i="4"/>
  <c r="F103" i="4"/>
  <c r="E102" i="4"/>
  <c r="G100" i="4"/>
  <c r="E99" i="4"/>
  <c r="J100" i="4"/>
  <c r="F102" i="4"/>
  <c r="F99" i="4"/>
  <c r="I99" i="4"/>
  <c r="J102" i="4"/>
  <c r="I101" i="4"/>
  <c r="K99" i="4"/>
  <c r="I98" i="4"/>
  <c r="E103" i="4"/>
  <c r="G101" i="4"/>
  <c r="E100" i="4"/>
  <c r="G98" i="4"/>
  <c r="K103" i="4"/>
  <c r="I102" i="4"/>
  <c r="K100" i="4"/>
  <c r="J99" i="4"/>
  <c r="F100" i="4"/>
  <c r="G102" i="4"/>
  <c r="F101" i="4"/>
  <c r="G99" i="4"/>
  <c r="F98" i="4"/>
  <c r="J103" i="4"/>
  <c r="K101" i="4"/>
  <c r="K98" i="4"/>
  <c r="G103" i="4"/>
  <c r="E101" i="4"/>
  <c r="E98" i="4"/>
  <c r="I71" i="4"/>
  <c r="J75" i="4"/>
  <c r="K73" i="4"/>
  <c r="I72" i="4"/>
  <c r="J73" i="4"/>
  <c r="G71" i="4"/>
  <c r="K76" i="4"/>
  <c r="J76" i="4"/>
  <c r="I75" i="4"/>
  <c r="I73" i="4"/>
  <c r="I74" i="4"/>
  <c r="K71" i="4"/>
  <c r="K74" i="4"/>
  <c r="I76" i="4"/>
  <c r="J74" i="4"/>
  <c r="K72" i="4"/>
  <c r="J71" i="4"/>
  <c r="K75" i="4"/>
  <c r="J72" i="4"/>
  <c r="K80" i="4"/>
  <c r="I80" i="4"/>
  <c r="J83" i="4"/>
  <c r="J84" i="4"/>
  <c r="K82" i="4"/>
  <c r="J81" i="4"/>
  <c r="K85" i="4"/>
  <c r="J80" i="4"/>
  <c r="F80" i="4"/>
  <c r="J85" i="4"/>
  <c r="I84" i="4"/>
  <c r="J82" i="4"/>
  <c r="K84" i="4"/>
  <c r="K81" i="4"/>
  <c r="G80" i="4"/>
  <c r="I85" i="4"/>
  <c r="K83" i="4"/>
  <c r="I82" i="4"/>
  <c r="I81" i="4"/>
  <c r="I83" i="4"/>
  <c r="F91" i="4"/>
  <c r="J94" i="4"/>
  <c r="K89" i="4"/>
  <c r="I94" i="4"/>
  <c r="K92" i="4"/>
  <c r="J90" i="4"/>
  <c r="F93" i="4"/>
  <c r="E92" i="4"/>
  <c r="F90" i="4"/>
  <c r="F89" i="4"/>
  <c r="G93" i="4"/>
  <c r="J91" i="4"/>
  <c r="J89" i="4"/>
  <c r="K93" i="4"/>
  <c r="J92" i="4"/>
  <c r="I89" i="4"/>
  <c r="F94" i="4"/>
  <c r="E93" i="4"/>
  <c r="G91" i="4"/>
  <c r="E90" i="4"/>
  <c r="K90" i="4"/>
  <c r="K94" i="4"/>
  <c r="I93" i="4"/>
  <c r="F92" i="4"/>
  <c r="K91" i="4"/>
  <c r="G89" i="4"/>
  <c r="I90" i="4"/>
  <c r="J93" i="4"/>
  <c r="I92" i="4"/>
  <c r="G94" i="4"/>
  <c r="E94" i="4"/>
  <c r="G92" i="4"/>
  <c r="E91" i="4"/>
  <c r="E89" i="4"/>
  <c r="I91" i="4"/>
  <c r="G90" i="4"/>
  <c r="F71" i="4"/>
  <c r="G83" i="4"/>
  <c r="F85" i="4"/>
  <c r="F81" i="4"/>
  <c r="E82" i="4"/>
  <c r="G82" i="4"/>
  <c r="F84" i="4"/>
  <c r="E81" i="4"/>
  <c r="G81" i="4"/>
  <c r="E85" i="4"/>
  <c r="E84" i="4"/>
  <c r="G84" i="4"/>
  <c r="F82" i="4"/>
  <c r="G85" i="4"/>
  <c r="F83" i="4"/>
  <c r="E80" i="4"/>
  <c r="E83" i="4"/>
  <c r="E75" i="4"/>
  <c r="G73" i="4"/>
  <c r="F72" i="4"/>
  <c r="E76" i="4"/>
  <c r="E71" i="4"/>
  <c r="G74" i="4"/>
  <c r="F73" i="4"/>
  <c r="E72" i="4"/>
  <c r="G75" i="4"/>
  <c r="F74" i="4"/>
  <c r="E73" i="4"/>
  <c r="G76" i="4"/>
  <c r="F75" i="4"/>
  <c r="E74" i="4"/>
  <c r="G72" i="4"/>
  <c r="F76" i="4"/>
  <c r="A26" i="4"/>
  <c r="B22" i="4"/>
  <c r="E16" i="4"/>
  <c r="E15" i="4"/>
  <c r="E14" i="4"/>
  <c r="E13" i="4"/>
  <c r="E12" i="4"/>
  <c r="E11" i="4"/>
  <c r="J54" i="4" l="1"/>
  <c r="O20" i="3"/>
  <c r="O22" i="3"/>
  <c r="E17" i="4"/>
  <c r="O12" i="3"/>
  <c r="O18" i="3"/>
  <c r="O16" i="3"/>
  <c r="O14" i="3"/>
  <c r="O39" i="3" l="1"/>
  <c r="F31" i="3"/>
  <c r="D31" i="3"/>
  <c r="I31" i="3"/>
  <c r="J15" i="4" l="1"/>
  <c r="J16" i="4" l="1"/>
  <c r="C72" i="4" l="1"/>
  <c r="K67" i="4" s="1"/>
  <c r="P65" i="4" s="1"/>
  <c r="A27" i="4" l="1"/>
  <c r="O40" i="3" s="1"/>
  <c r="C40" i="3"/>
  <c r="C41" i="3"/>
  <c r="A29" i="4"/>
  <c r="O42" i="3" s="1"/>
  <c r="C42" i="3"/>
  <c r="A28" i="4"/>
  <c r="O41" i="3" s="1"/>
  <c r="Q14" i="4" l="1"/>
  <c r="C103" i="4" s="1"/>
  <c r="C98" i="4" s="1"/>
  <c r="B103" i="4" s="1"/>
  <c r="G56" i="4" l="1"/>
  <c r="C56" i="4" s="1"/>
  <c r="M14" i="4" s="1"/>
  <c r="Q16" i="4"/>
  <c r="C121" i="4" s="1"/>
  <c r="C116" i="4" s="1"/>
  <c r="B121" i="4" s="1"/>
  <c r="C76" i="4"/>
  <c r="C71" i="4" s="1"/>
  <c r="O14" i="4"/>
  <c r="H56" i="4"/>
  <c r="D56" i="4" s="1"/>
  <c r="R14" i="4" s="1"/>
  <c r="Q15" i="4"/>
  <c r="C112" i="4" s="1"/>
  <c r="C107" i="4" s="1"/>
  <c r="B112" i="4" s="1"/>
  <c r="Q13" i="4"/>
  <c r="C94" i="4" s="1"/>
  <c r="C89" i="4" s="1"/>
  <c r="B94" i="4" s="1"/>
  <c r="Q12" i="4"/>
  <c r="C85" i="4" s="1"/>
  <c r="C80" i="4" s="1"/>
  <c r="B85" i="4" s="1"/>
  <c r="B76" i="4" l="1"/>
  <c r="H53" i="4" s="1"/>
  <c r="D53" i="4" s="1"/>
  <c r="R11" i="4" s="1"/>
  <c r="G55" i="4"/>
  <c r="C55" i="4" s="1"/>
  <c r="M13" i="4" s="1"/>
  <c r="H55" i="4"/>
  <c r="D55" i="4" s="1"/>
  <c r="R13" i="4" s="1"/>
  <c r="G57" i="4"/>
  <c r="C57" i="4" s="1"/>
  <c r="M15" i="4" s="1"/>
  <c r="H57" i="4"/>
  <c r="D57" i="4" s="1"/>
  <c r="R15" i="4" s="1"/>
  <c r="O16" i="4"/>
  <c r="H23" i="3" s="1"/>
  <c r="I23" i="3" s="1"/>
  <c r="H58" i="4"/>
  <c r="D58" i="4" s="1"/>
  <c r="R16" i="4" s="1"/>
  <c r="G54" i="4"/>
  <c r="C54" i="4" s="1"/>
  <c r="H54" i="4"/>
  <c r="D54" i="4" s="1"/>
  <c r="R12" i="4" s="1"/>
  <c r="G58" i="4"/>
  <c r="C58" i="4" s="1"/>
  <c r="O11" i="4"/>
  <c r="H13" i="3" s="1"/>
  <c r="I13" i="3" s="1"/>
  <c r="G53" i="4"/>
  <c r="C53" i="4" s="1"/>
  <c r="E19" i="3"/>
  <c r="O13" i="4"/>
  <c r="O12" i="4"/>
  <c r="O15" i="4"/>
  <c r="H19" i="3"/>
  <c r="I19" i="3" s="1"/>
  <c r="E23" i="3" l="1"/>
  <c r="M16" i="4"/>
  <c r="F16" i="4" s="1"/>
  <c r="E15" i="3"/>
  <c r="M12" i="4"/>
  <c r="F15" i="3" s="1"/>
  <c r="M11" i="4"/>
  <c r="E17" i="3"/>
  <c r="E21" i="3"/>
  <c r="H21" i="3"/>
  <c r="I21" i="3" s="1"/>
  <c r="H17" i="3"/>
  <c r="I17" i="3" s="1"/>
  <c r="F17" i="3"/>
  <c r="F13" i="4"/>
  <c r="H15" i="3"/>
  <c r="I15" i="3" s="1"/>
  <c r="F14" i="4"/>
  <c r="F19" i="3"/>
  <c r="N18" i="3" s="1"/>
  <c r="F15" i="4"/>
  <c r="F21" i="3"/>
  <c r="F11" i="4" l="1"/>
  <c r="G11" i="4" s="1"/>
  <c r="H11" i="4" s="1"/>
  <c r="F13" i="3"/>
  <c r="N12" i="3" s="1"/>
  <c r="E13" i="3"/>
  <c r="F12" i="4"/>
  <c r="F23" i="3"/>
  <c r="N22" i="3" s="1"/>
  <c r="N20" i="3"/>
  <c r="N16" i="3"/>
  <c r="G16" i="4"/>
  <c r="H16" i="4" s="1"/>
  <c r="N14" i="3"/>
  <c r="G14" i="4"/>
  <c r="H14" i="4" s="1"/>
  <c r="J14" i="4" s="1"/>
  <c r="G15" i="4"/>
  <c r="H15" i="4" s="1"/>
  <c r="G13" i="4"/>
  <c r="H13" i="4" s="1"/>
  <c r="J13" i="4" s="1"/>
  <c r="R17" i="4"/>
  <c r="N23" i="3" l="1"/>
  <c r="I16" i="4"/>
  <c r="N21" i="3"/>
  <c r="I15" i="4"/>
  <c r="F17" i="4"/>
  <c r="N19" i="3"/>
  <c r="I14" i="4"/>
  <c r="N17" i="3"/>
  <c r="I13" i="4"/>
  <c r="G12" i="4"/>
  <c r="H12" i="4" s="1"/>
  <c r="J12" i="4" s="1"/>
  <c r="I11" i="4"/>
  <c r="J11" i="4"/>
  <c r="R25" i="3"/>
  <c r="A21" i="4"/>
  <c r="B21" i="4" s="1"/>
  <c r="T13" i="3" s="1"/>
  <c r="N13" i="3"/>
  <c r="G23" i="4" l="1"/>
  <c r="V20" i="3" s="1"/>
  <c r="I12" i="4"/>
  <c r="I17" i="4" s="1"/>
  <c r="X17" i="3" s="1"/>
  <c r="T17" i="4"/>
  <c r="H17" i="4"/>
  <c r="N15" i="3"/>
  <c r="J17" i="4"/>
  <c r="C21" i="4"/>
  <c r="V25" i="3" s="1"/>
  <c r="F34" i="4"/>
  <c r="L33" i="4"/>
  <c r="O25" i="3" s="1"/>
  <c r="J34" i="4"/>
  <c r="T21" i="3"/>
  <c r="T17" i="3"/>
  <c r="F23" i="4"/>
  <c r="E46" i="4" l="1"/>
  <c r="T18" i="3" s="1"/>
  <c r="D46" i="4"/>
  <c r="T14" i="3" s="1"/>
  <c r="H21" i="4"/>
  <c r="X12" i="3" s="1"/>
  <c r="H22" i="4"/>
  <c r="X16" i="3" s="1"/>
  <c r="X13" i="3"/>
  <c r="H23" i="4"/>
  <c r="X20" i="3" s="1"/>
  <c r="X21" i="3"/>
  <c r="G21" i="4"/>
  <c r="V12" i="3" s="1"/>
  <c r="G22" i="4"/>
  <c r="V16" i="3" s="1"/>
  <c r="B41" i="4"/>
  <c r="E41" i="4"/>
  <c r="D41" i="4"/>
  <c r="C41" i="4"/>
  <c r="T20" i="3"/>
  <c r="I23" i="4" l="1"/>
  <c r="Z20" i="3" s="1"/>
  <c r="AA20" i="3" s="1"/>
  <c r="D49" i="4"/>
  <c r="E49" i="4"/>
  <c r="V24" i="3"/>
  <c r="C42" i="4"/>
  <c r="X24" i="3"/>
  <c r="D42" i="4"/>
  <c r="F22" i="4" s="1"/>
  <c r="F21" i="4" l="1"/>
  <c r="T12" i="3" s="1"/>
  <c r="T16" i="3"/>
  <c r="I22" i="4"/>
  <c r="Z16" i="3" s="1"/>
  <c r="I21" i="4" l="1"/>
  <c r="Z12" i="3" s="1"/>
  <c r="AA16" i="3"/>
  <c r="T24" i="3"/>
  <c r="I24" i="4" l="1"/>
  <c r="U27" i="3" s="1"/>
  <c r="Y27" i="3" s="1"/>
  <c r="Z24" i="3"/>
  <c r="AA1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10" authorId="0" shapeId="0" xr:uid="{00000000-0006-0000-0200-000001000000}">
      <text>
        <r>
          <rPr>
            <b/>
            <sz val="9"/>
            <color indexed="81"/>
            <rFont val="ＭＳ Ｐゴシック"/>
            <family val="3"/>
            <charset val="128"/>
          </rPr>
          <t>非自発的失業者に該当の場合☑する。</t>
        </r>
      </text>
    </comment>
    <comment ref="S10" authorId="0" shapeId="0" xr:uid="{00000000-0006-0000-0200-000002000000}">
      <text>
        <r>
          <rPr>
            <b/>
            <sz val="9"/>
            <color indexed="81"/>
            <rFont val="ＭＳ Ｐゴシック"/>
            <family val="3"/>
            <charset val="128"/>
          </rPr>
          <t>専従者控除、特別控除等がある場合に入力する。</t>
        </r>
      </text>
    </comment>
    <comment ref="C22" authorId="0" shapeId="0" xr:uid="{00000000-0006-0000-0200-000003000000}">
      <text>
        <r>
          <rPr>
            <b/>
            <sz val="9"/>
            <color indexed="81"/>
            <rFont val="ＭＳ Ｐゴシック"/>
            <family val="3"/>
            <charset val="128"/>
          </rPr>
          <t>軽減判定が自動でうまくいかない場合に設定する。</t>
        </r>
      </text>
    </comment>
    <comment ref="E27" authorId="0" shapeId="0" xr:uid="{00000000-0006-0000-0200-000004000000}">
      <text>
        <r>
          <rPr>
            <b/>
            <sz val="9"/>
            <color indexed="81"/>
            <rFont val="MS P ゴシック"/>
            <family val="3"/>
            <charset val="128"/>
          </rPr>
          <t>40歳～64歳の人を追加する場合、「医療・支援」と「介護」の両方で1人分を計上してください。</t>
        </r>
      </text>
    </comment>
    <comment ref="E28" authorId="0" shapeId="0" xr:uid="{00000000-0006-0000-0200-000005000000}">
      <text>
        <r>
          <rPr>
            <b/>
            <sz val="9"/>
            <color indexed="81"/>
            <rFont val="MS P ゴシック"/>
            <family val="3"/>
            <charset val="128"/>
          </rPr>
          <t>世帯内に特定同一世帯所属者（旧国）がいる場合に、追加人数を入力してください。</t>
        </r>
      </text>
    </comment>
    <comment ref="F33" authorId="0" shapeId="0" xr:uid="{00000000-0006-0000-0200-000006000000}">
      <text>
        <r>
          <rPr>
            <b/>
            <sz val="9"/>
            <color indexed="81"/>
            <rFont val="ＭＳ Ｐゴシック"/>
            <family val="3"/>
            <charset val="128"/>
          </rPr>
          <t xml:space="preserve">1/2=0.5 (5年間)
3/4=0.75(3年間)
</t>
        </r>
        <r>
          <rPr>
            <b/>
            <sz val="8"/>
            <color indexed="81"/>
            <rFont val="ＭＳ Ｐゴシック"/>
            <family val="3"/>
            <charset val="128"/>
          </rPr>
          <t>(該当年度+翌年度～)</t>
        </r>
      </text>
    </comment>
    <comment ref="J33" authorId="0" shapeId="0" xr:uid="{00000000-0006-0000-0200-000007000000}">
      <text>
        <r>
          <rPr>
            <b/>
            <sz val="9"/>
            <color indexed="81"/>
            <rFont val="ＭＳ Ｐゴシック"/>
            <family val="3"/>
            <charset val="128"/>
          </rPr>
          <t>旧被扶養者(65歳以上）
均等割1/2の人数
24ケ月間のみ</t>
        </r>
      </text>
    </comment>
    <comment ref="K34" authorId="0" shapeId="0" xr:uid="{00000000-0006-0000-0200-000008000000}">
      <text>
        <r>
          <rPr>
            <b/>
            <sz val="9"/>
            <color indexed="81"/>
            <rFont val="MS P ゴシック"/>
            <family val="3"/>
            <charset val="128"/>
          </rPr>
          <t>65～74歳の人数を表示します。</t>
        </r>
      </text>
    </comment>
  </commentList>
</comments>
</file>

<file path=xl/sharedStrings.xml><?xml version="1.0" encoding="utf-8"?>
<sst xmlns="http://schemas.openxmlformats.org/spreadsheetml/2006/main" count="404" uniqueCount="238">
  <si>
    <t>世帯主</t>
    <rPh sb="0" eb="3">
      <t>セタイヌシ</t>
    </rPh>
    <phoneticPr fontId="2"/>
  </si>
  <si>
    <t>加入者１</t>
    <rPh sb="0" eb="3">
      <t>カニュウシャ</t>
    </rPh>
    <phoneticPr fontId="2"/>
  </si>
  <si>
    <t>加入者２</t>
    <rPh sb="0" eb="3">
      <t>カニュウシャ</t>
    </rPh>
    <phoneticPr fontId="2"/>
  </si>
  <si>
    <t>加入者３</t>
    <rPh sb="0" eb="3">
      <t>カニュウシャ</t>
    </rPh>
    <phoneticPr fontId="2"/>
  </si>
  <si>
    <t>加入者４</t>
    <rPh sb="0" eb="3">
      <t>カニュウシャ</t>
    </rPh>
    <phoneticPr fontId="2"/>
  </si>
  <si>
    <t>加入者５</t>
    <rPh sb="0" eb="3">
      <t>カニュウシャ</t>
    </rPh>
    <phoneticPr fontId="2"/>
  </si>
  <si>
    <t>年齢区分</t>
    <rPh sb="0" eb="2">
      <t>ネンレイ</t>
    </rPh>
    <rPh sb="2" eb="4">
      <t>クブン</t>
    </rPh>
    <phoneticPr fontId="1"/>
  </si>
  <si>
    <t>年度</t>
    <rPh sb="0" eb="2">
      <t>ネンド</t>
    </rPh>
    <phoneticPr fontId="2"/>
  </si>
  <si>
    <t>料率</t>
    <rPh sb="0" eb="2">
      <t>リョウリツ</t>
    </rPh>
    <phoneticPr fontId="2"/>
  </si>
  <si>
    <t>医療分</t>
    <rPh sb="0" eb="2">
      <t>イリョウ</t>
    </rPh>
    <rPh sb="2" eb="3">
      <t>ブン</t>
    </rPh>
    <phoneticPr fontId="2"/>
  </si>
  <si>
    <t>均等割</t>
    <rPh sb="0" eb="3">
      <t>キントウワ</t>
    </rPh>
    <phoneticPr fontId="2"/>
  </si>
  <si>
    <t>介護分</t>
    <rPh sb="0" eb="2">
      <t>カイゴ</t>
    </rPh>
    <rPh sb="2" eb="3">
      <t>ブン</t>
    </rPh>
    <phoneticPr fontId="2"/>
  </si>
  <si>
    <t>支援分</t>
    <rPh sb="0" eb="2">
      <t>シエン</t>
    </rPh>
    <rPh sb="2" eb="3">
      <t>ブン</t>
    </rPh>
    <phoneticPr fontId="2"/>
  </si>
  <si>
    <t>平等割</t>
    <rPh sb="0" eb="2">
      <t>ビョウドウ</t>
    </rPh>
    <rPh sb="2" eb="3">
      <t>ワリ</t>
    </rPh>
    <phoneticPr fontId="2"/>
  </si>
  <si>
    <t>基礎控除額</t>
    <rPh sb="0" eb="2">
      <t>キソ</t>
    </rPh>
    <rPh sb="2" eb="4">
      <t>コウジョ</t>
    </rPh>
    <rPh sb="4" eb="5">
      <t>ガク</t>
    </rPh>
    <phoneticPr fontId="2"/>
  </si>
  <si>
    <t>人数判定</t>
    <phoneticPr fontId="2"/>
  </si>
  <si>
    <t>介護判定</t>
    <rPh sb="0" eb="2">
      <t>カイゴ</t>
    </rPh>
    <phoneticPr fontId="2"/>
  </si>
  <si>
    <t>総所得金額等</t>
    <rPh sb="0" eb="3">
      <t>ソウショトク</t>
    </rPh>
    <rPh sb="3" eb="5">
      <t>キンガク</t>
    </rPh>
    <rPh sb="5" eb="6">
      <t>トウ</t>
    </rPh>
    <phoneticPr fontId="2"/>
  </si>
  <si>
    <t>賦課基準額</t>
    <rPh sb="0" eb="2">
      <t>フカ</t>
    </rPh>
    <rPh sb="2" eb="4">
      <t>キジュン</t>
    </rPh>
    <rPh sb="4" eb="5">
      <t>ガク</t>
    </rPh>
    <phoneticPr fontId="2"/>
  </si>
  <si>
    <t>介護分基準額</t>
    <rPh sb="0" eb="2">
      <t>カイゴ</t>
    </rPh>
    <rPh sb="2" eb="3">
      <t>ブン</t>
    </rPh>
    <rPh sb="3" eb="5">
      <t>キジュン</t>
    </rPh>
    <rPh sb="5" eb="6">
      <t>ガク</t>
    </rPh>
    <phoneticPr fontId="2"/>
  </si>
  <si>
    <t>医療分基準額</t>
    <rPh sb="0" eb="2">
      <t>イリョウ</t>
    </rPh>
    <rPh sb="2" eb="3">
      <t>ブン</t>
    </rPh>
    <rPh sb="3" eb="5">
      <t>キジュン</t>
    </rPh>
    <rPh sb="5" eb="6">
      <t>ガク</t>
    </rPh>
    <phoneticPr fontId="2"/>
  </si>
  <si>
    <t>7割軽減</t>
    <rPh sb="1" eb="2">
      <t>ワリ</t>
    </rPh>
    <rPh sb="2" eb="4">
      <t>ケイゲン</t>
    </rPh>
    <phoneticPr fontId="2"/>
  </si>
  <si>
    <t>5割軽減</t>
    <rPh sb="1" eb="2">
      <t>ワリ</t>
    </rPh>
    <rPh sb="2" eb="4">
      <t>ケイゲン</t>
    </rPh>
    <phoneticPr fontId="2"/>
  </si>
  <si>
    <t>２割軽減</t>
    <rPh sb="1" eb="2">
      <t>ワリ</t>
    </rPh>
    <rPh sb="2" eb="4">
      <t>ケイゲン</t>
    </rPh>
    <phoneticPr fontId="2"/>
  </si>
  <si>
    <t>軽減判定総所得</t>
    <rPh sb="0" eb="2">
      <t>ケイゲン</t>
    </rPh>
    <rPh sb="2" eb="4">
      <t>ハンテイ</t>
    </rPh>
    <rPh sb="4" eb="5">
      <t>ソウ</t>
    </rPh>
    <rPh sb="5" eb="7">
      <t>ショトク</t>
    </rPh>
    <phoneticPr fontId="2"/>
  </si>
  <si>
    <t>軽減判定基準額</t>
    <rPh sb="0" eb="2">
      <t>ケイゲン</t>
    </rPh>
    <rPh sb="2" eb="4">
      <t>ハンテイ</t>
    </rPh>
    <rPh sb="4" eb="6">
      <t>キジュン</t>
    </rPh>
    <rPh sb="6" eb="7">
      <t>ガク</t>
    </rPh>
    <phoneticPr fontId="2"/>
  </si>
  <si>
    <t>軽減</t>
    <rPh sb="0" eb="2">
      <t>ケイゲン</t>
    </rPh>
    <phoneticPr fontId="2"/>
  </si>
  <si>
    <t>2割軽減</t>
    <rPh sb="1" eb="2">
      <t>ワリ</t>
    </rPh>
    <rPh sb="2" eb="4">
      <t>ケイゲン</t>
    </rPh>
    <phoneticPr fontId="2"/>
  </si>
  <si>
    <t>軽減率</t>
    <rPh sb="0" eb="2">
      <t>ケイゲン</t>
    </rPh>
    <rPh sb="2" eb="3">
      <t>リツ</t>
    </rPh>
    <phoneticPr fontId="2"/>
  </si>
  <si>
    <t>軽減非該当</t>
    <rPh sb="0" eb="2">
      <t>ケイゲン</t>
    </rPh>
    <rPh sb="2" eb="5">
      <t>ヒガイトウ</t>
    </rPh>
    <phoneticPr fontId="2"/>
  </si>
  <si>
    <t>所得割</t>
    <rPh sb="0" eb="2">
      <t>ショトク</t>
    </rPh>
    <rPh sb="2" eb="3">
      <t>ワリ</t>
    </rPh>
    <phoneticPr fontId="2"/>
  </si>
  <si>
    <t>合計</t>
    <rPh sb="0" eb="2">
      <t>ゴウケイ</t>
    </rPh>
    <phoneticPr fontId="2"/>
  </si>
  <si>
    <t>世帯主</t>
    <rPh sb="0" eb="3">
      <t>セタイヌシ</t>
    </rPh>
    <phoneticPr fontId="1"/>
  </si>
  <si>
    <t>加入者1</t>
    <rPh sb="0" eb="3">
      <t>カニュウシャ</t>
    </rPh>
    <phoneticPr fontId="1"/>
  </si>
  <si>
    <t>加入者2</t>
    <rPh sb="0" eb="3">
      <t>カニュウシャ</t>
    </rPh>
    <phoneticPr fontId="1"/>
  </si>
  <si>
    <t>加入者3</t>
    <rPh sb="0" eb="3">
      <t>カニュウシャ</t>
    </rPh>
    <phoneticPr fontId="1"/>
  </si>
  <si>
    <t>加入者4</t>
    <rPh sb="0" eb="3">
      <t>カニュウシャ</t>
    </rPh>
    <phoneticPr fontId="1"/>
  </si>
  <si>
    <t>加入者5</t>
    <rPh sb="0" eb="3">
      <t>カニュウシャ</t>
    </rPh>
    <phoneticPr fontId="1"/>
  </si>
  <si>
    <t>計</t>
    <rPh sb="0" eb="1">
      <t>ケイ</t>
    </rPh>
    <phoneticPr fontId="1"/>
  </si>
  <si>
    <t>医療分</t>
    <rPh sb="0" eb="2">
      <t>イリョウ</t>
    </rPh>
    <rPh sb="2" eb="3">
      <t>ブン</t>
    </rPh>
    <phoneticPr fontId="1"/>
  </si>
  <si>
    <t>被保険者
均等割</t>
    <rPh sb="0" eb="4">
      <t>ヒホケンシャ</t>
    </rPh>
    <rPh sb="5" eb="8">
      <t>キントウワ</t>
    </rPh>
    <phoneticPr fontId="1"/>
  </si>
  <si>
    <t>支援分</t>
    <rPh sb="0" eb="2">
      <t>シエン</t>
    </rPh>
    <rPh sb="2" eb="3">
      <t>ブン</t>
    </rPh>
    <phoneticPr fontId="1"/>
  </si>
  <si>
    <t>介護分</t>
    <rPh sb="0" eb="2">
      <t>カイゴ</t>
    </rPh>
    <rPh sb="2" eb="3">
      <t>ブン</t>
    </rPh>
    <phoneticPr fontId="1"/>
  </si>
  <si>
    <t>世帯別
平等割</t>
    <rPh sb="0" eb="2">
      <t>セタイ</t>
    </rPh>
    <rPh sb="2" eb="3">
      <t>ベツ</t>
    </rPh>
    <rPh sb="4" eb="6">
      <t>ビョウドウ</t>
    </rPh>
    <rPh sb="6" eb="7">
      <t>ワリ</t>
    </rPh>
    <phoneticPr fontId="1"/>
  </si>
  <si>
    <t>算定額</t>
    <rPh sb="0" eb="2">
      <t>サンテイ</t>
    </rPh>
    <rPh sb="2" eb="3">
      <t>ガク</t>
    </rPh>
    <phoneticPr fontId="1"/>
  </si>
  <si>
    <t>年間の保険料（試算額）</t>
    <rPh sb="0" eb="1">
      <t>ネン</t>
    </rPh>
    <rPh sb="1" eb="2">
      <t>カン</t>
    </rPh>
    <rPh sb="3" eb="6">
      <t>ホケンリョウ</t>
    </rPh>
    <rPh sb="7" eb="9">
      <t>シサン</t>
    </rPh>
    <rPh sb="9" eb="10">
      <t>ガク</t>
    </rPh>
    <phoneticPr fontId="1"/>
  </si>
  <si>
    <t>円</t>
    <rPh sb="0" eb="1">
      <t>エン</t>
    </rPh>
    <phoneticPr fontId="1"/>
  </si>
  <si>
    <t>所得基準（前年中の総所得金額等の合算額）</t>
    <rPh sb="0" eb="2">
      <t>ショトク</t>
    </rPh>
    <rPh sb="2" eb="4">
      <t>キジュン</t>
    </rPh>
    <rPh sb="5" eb="7">
      <t>ゼンネン</t>
    </rPh>
    <rPh sb="7" eb="8">
      <t>チュウ</t>
    </rPh>
    <rPh sb="9" eb="12">
      <t>ソウショトク</t>
    </rPh>
    <rPh sb="12" eb="14">
      <t>キンガク</t>
    </rPh>
    <rPh sb="14" eb="15">
      <t>トウ</t>
    </rPh>
    <rPh sb="16" eb="18">
      <t>ガッサン</t>
    </rPh>
    <rPh sb="18" eb="19">
      <t>ガク</t>
    </rPh>
    <phoneticPr fontId="1"/>
  </si>
  <si>
    <t>軽減割合</t>
    <rPh sb="0" eb="2">
      <t>ケイゲン</t>
    </rPh>
    <rPh sb="2" eb="4">
      <t>ワリアイ</t>
    </rPh>
    <phoneticPr fontId="1"/>
  </si>
  <si>
    <t>７割</t>
    <rPh sb="1" eb="2">
      <t>ワリ</t>
    </rPh>
    <phoneticPr fontId="1"/>
  </si>
  <si>
    <t>５割</t>
    <rPh sb="1" eb="2">
      <t>ワリ</t>
    </rPh>
    <phoneticPr fontId="1"/>
  </si>
  <si>
    <t>２割</t>
    <rPh sb="1" eb="2">
      <t>ワリ</t>
    </rPh>
    <phoneticPr fontId="1"/>
  </si>
  <si>
    <t>区 分</t>
    <rPh sb="0" eb="1">
      <t>ク</t>
    </rPh>
    <rPh sb="2" eb="3">
      <t>ブン</t>
    </rPh>
    <phoneticPr fontId="1"/>
  </si>
  <si>
    <t>①年齢区分</t>
    <rPh sb="1" eb="3">
      <t>ネンレイ</t>
    </rPh>
    <rPh sb="3" eb="5">
      <t>クブン</t>
    </rPh>
    <phoneticPr fontId="1"/>
  </si>
  <si>
    <t xml:space="preserve"> 円</t>
    <rPh sb="1" eb="2">
      <t>エン</t>
    </rPh>
    <phoneticPr fontId="1"/>
  </si>
  <si>
    <t>所 得 割</t>
    <rPh sb="0" eb="1">
      <t>ショ</t>
    </rPh>
    <rPh sb="2" eb="3">
      <t>エ</t>
    </rPh>
    <rPh sb="4" eb="5">
      <t>ワリ</t>
    </rPh>
    <phoneticPr fontId="2"/>
  </si>
  <si>
    <t>限 度 額</t>
    <rPh sb="0" eb="1">
      <t>キリ</t>
    </rPh>
    <rPh sb="2" eb="3">
      <t>ド</t>
    </rPh>
    <rPh sb="4" eb="5">
      <t>ガク</t>
    </rPh>
    <phoneticPr fontId="2"/>
  </si>
  <si>
    <t>給与収入</t>
    <rPh sb="0" eb="2">
      <t>キュウヨ</t>
    </rPh>
    <rPh sb="2" eb="4">
      <t>シュウニュウ</t>
    </rPh>
    <phoneticPr fontId="2"/>
  </si>
  <si>
    <t>給与所得</t>
    <rPh sb="0" eb="2">
      <t>キュウヨ</t>
    </rPh>
    <rPh sb="2" eb="4">
      <t>ショトク</t>
    </rPh>
    <phoneticPr fontId="2"/>
  </si>
  <si>
    <t>給与所得計算表</t>
    <rPh sb="0" eb="2">
      <t>キュウヨ</t>
    </rPh>
    <rPh sb="2" eb="4">
      <t>ショトク</t>
    </rPh>
    <rPh sb="4" eb="6">
      <t>ケイサン</t>
    </rPh>
    <rPh sb="6" eb="7">
      <t>ヒョウ</t>
    </rPh>
    <phoneticPr fontId="2"/>
  </si>
  <si>
    <t>●給与所得簡易計算</t>
    <rPh sb="1" eb="3">
      <t>キュウヨ</t>
    </rPh>
    <rPh sb="3" eb="5">
      <t>ショトク</t>
    </rPh>
    <rPh sb="5" eb="7">
      <t>カンイ</t>
    </rPh>
    <rPh sb="7" eb="9">
      <t>ケイサン</t>
    </rPh>
    <phoneticPr fontId="2"/>
  </si>
  <si>
    <t>公的年金等収入</t>
    <rPh sb="0" eb="2">
      <t>コウテキ</t>
    </rPh>
    <rPh sb="2" eb="4">
      <t>ネンキン</t>
    </rPh>
    <rPh sb="4" eb="5">
      <t>トウ</t>
    </rPh>
    <rPh sb="5" eb="7">
      <t>シュウニュウ</t>
    </rPh>
    <phoneticPr fontId="2"/>
  </si>
  <si>
    <t>年金所得</t>
    <rPh sb="0" eb="2">
      <t>ネンキン</t>
    </rPh>
    <rPh sb="2" eb="4">
      <t>ショトク</t>
    </rPh>
    <phoneticPr fontId="2"/>
  </si>
  <si>
    <t>●公的年金等の雑所得の計算</t>
    <rPh sb="1" eb="3">
      <t>コウテキ</t>
    </rPh>
    <rPh sb="3" eb="5">
      <t>ネンキン</t>
    </rPh>
    <rPh sb="5" eb="6">
      <t>トウ</t>
    </rPh>
    <rPh sb="7" eb="10">
      <t>ザッショトク</t>
    </rPh>
    <rPh sb="11" eb="13">
      <t>ケイサン</t>
    </rPh>
    <phoneticPr fontId="2"/>
  </si>
  <si>
    <t>６５歳以上</t>
    <rPh sb="2" eb="3">
      <t>サイ</t>
    </rPh>
    <rPh sb="3" eb="5">
      <t>イジョウ</t>
    </rPh>
    <phoneticPr fontId="2"/>
  </si>
  <si>
    <t>軽減判定強制適用</t>
    <rPh sb="0" eb="2">
      <t>ケイゲン</t>
    </rPh>
    <rPh sb="2" eb="4">
      <t>ハンテイ</t>
    </rPh>
    <rPh sb="4" eb="6">
      <t>キョウセイ</t>
    </rPh>
    <rPh sb="6" eb="8">
      <t>テキヨウ</t>
    </rPh>
    <phoneticPr fontId="2"/>
  </si>
  <si>
    <t>医・支・介の計</t>
    <rPh sb="0" eb="1">
      <t>イ</t>
    </rPh>
    <rPh sb="2" eb="3">
      <t>シ</t>
    </rPh>
    <rPh sb="4" eb="5">
      <t>スケ</t>
    </rPh>
    <rPh sb="6" eb="7">
      <t>ケイ</t>
    </rPh>
    <phoneticPr fontId="1"/>
  </si>
  <si>
    <t>※２　特定同一世帯所属者…後期高齢者医療制度への移行により、国保を脱退した人で、同じ世帯に国保加入者がいる人</t>
    <rPh sb="3" eb="5">
      <t>トクテイ</t>
    </rPh>
    <rPh sb="5" eb="7">
      <t>ドウイツ</t>
    </rPh>
    <rPh sb="7" eb="9">
      <t>セタイ</t>
    </rPh>
    <rPh sb="9" eb="11">
      <t>ショゾク</t>
    </rPh>
    <rPh sb="11" eb="12">
      <t>シャ</t>
    </rPh>
    <rPh sb="13" eb="15">
      <t>コウキ</t>
    </rPh>
    <rPh sb="15" eb="18">
      <t>コウレイシャ</t>
    </rPh>
    <rPh sb="18" eb="20">
      <t>イリョウ</t>
    </rPh>
    <rPh sb="20" eb="22">
      <t>セイド</t>
    </rPh>
    <rPh sb="24" eb="26">
      <t>イコウ</t>
    </rPh>
    <rPh sb="30" eb="32">
      <t>コクホ</t>
    </rPh>
    <rPh sb="33" eb="35">
      <t>ダッタイ</t>
    </rPh>
    <rPh sb="37" eb="38">
      <t>ヒト</t>
    </rPh>
    <rPh sb="40" eb="41">
      <t>オナ</t>
    </rPh>
    <rPh sb="42" eb="44">
      <t>セタイ</t>
    </rPh>
    <rPh sb="45" eb="47">
      <t>コクホ</t>
    </rPh>
    <rPh sb="47" eb="50">
      <t>カニュウシャ</t>
    </rPh>
    <rPh sb="53" eb="54">
      <t>ヒト</t>
    </rPh>
    <phoneticPr fontId="1"/>
  </si>
  <si>
    <t>（１か月約</t>
    <rPh sb="3" eb="4">
      <t>ツキ</t>
    </rPh>
    <rPh sb="4" eb="5">
      <t>ヤク</t>
    </rPh>
    <phoneticPr fontId="1"/>
  </si>
  <si>
    <t>[算定内訳]</t>
    <rPh sb="1" eb="3">
      <t>サンテイ</t>
    </rPh>
    <rPh sb="3" eb="5">
      <t>ウチワケ</t>
    </rPh>
    <phoneticPr fontId="1"/>
  </si>
  <si>
    <t>⇒</t>
    <phoneticPr fontId="1"/>
  </si>
  <si>
    <t>世帯主</t>
    <rPh sb="0" eb="3">
      <t>セタイヌシ</t>
    </rPh>
    <phoneticPr fontId="28"/>
  </si>
  <si>
    <t>その他所得</t>
    <rPh sb="2" eb="3">
      <t>タ</t>
    </rPh>
    <rPh sb="3" eb="5">
      <t>ショトク</t>
    </rPh>
    <phoneticPr fontId="2"/>
  </si>
  <si>
    <t>軽減判定所得</t>
    <rPh sb="0" eb="2">
      <t>ケイゲン</t>
    </rPh>
    <rPh sb="2" eb="4">
      <t>ハンテイ</t>
    </rPh>
    <rPh sb="4" eb="6">
      <t>ショトク</t>
    </rPh>
    <phoneticPr fontId="2"/>
  </si>
  <si>
    <t>公的年金収入</t>
    <rPh sb="0" eb="2">
      <t>コウテキ</t>
    </rPh>
    <rPh sb="2" eb="4">
      <t>ネンキン</t>
    </rPh>
    <rPh sb="4" eb="6">
      <t>シュウニュウ</t>
    </rPh>
    <phoneticPr fontId="2"/>
  </si>
  <si>
    <t>年間保険料</t>
    <rPh sb="0" eb="2">
      <t>ネンカン</t>
    </rPh>
    <rPh sb="2" eb="5">
      <t>ホケンリョウ</t>
    </rPh>
    <phoneticPr fontId="28"/>
  </si>
  <si>
    <t>算定基礎情報</t>
    <rPh sb="0" eb="2">
      <t>サンテイ</t>
    </rPh>
    <rPh sb="2" eb="4">
      <t>キソ</t>
    </rPh>
    <rPh sb="4" eb="6">
      <t>ジョウホウ</t>
    </rPh>
    <phoneticPr fontId="28"/>
  </si>
  <si>
    <t>料率</t>
    <rPh sb="0" eb="2">
      <t>リョウリツ</t>
    </rPh>
    <phoneticPr fontId="28"/>
  </si>
  <si>
    <t>軽減基準額</t>
    <rPh sb="0" eb="2">
      <t>ケイゲン</t>
    </rPh>
    <rPh sb="2" eb="4">
      <t>キジュン</t>
    </rPh>
    <rPh sb="4" eb="5">
      <t>ガク</t>
    </rPh>
    <phoneticPr fontId="28"/>
  </si>
  <si>
    <t>追加加入</t>
    <rPh sb="0" eb="2">
      <t>ツイカ</t>
    </rPh>
    <rPh sb="2" eb="4">
      <t>カニュウ</t>
    </rPh>
    <phoneticPr fontId="28"/>
  </si>
  <si>
    <t>医療・支援</t>
    <rPh sb="0" eb="2">
      <t>イリョウ</t>
    </rPh>
    <rPh sb="3" eb="5">
      <t>シエン</t>
    </rPh>
    <phoneticPr fontId="28"/>
  </si>
  <si>
    <t>介護</t>
    <rPh sb="0" eb="2">
      <t>カイゴ</t>
    </rPh>
    <phoneticPr fontId="28"/>
  </si>
  <si>
    <t>軽減追加</t>
    <rPh sb="0" eb="2">
      <t>ケイゲン</t>
    </rPh>
    <rPh sb="2" eb="4">
      <t>ツイカ</t>
    </rPh>
    <phoneticPr fontId="28"/>
  </si>
  <si>
    <t>-</t>
    <phoneticPr fontId="28"/>
  </si>
  <si>
    <t>世帯別平等割</t>
    <phoneticPr fontId="28"/>
  </si>
  <si>
    <t>医療分</t>
    <rPh sb="0" eb="2">
      <t>イリョウ</t>
    </rPh>
    <rPh sb="2" eb="3">
      <t>ブン</t>
    </rPh>
    <phoneticPr fontId="35"/>
  </si>
  <si>
    <t>支援分</t>
    <rPh sb="0" eb="2">
      <t>シエン</t>
    </rPh>
    <rPh sb="2" eb="3">
      <t>ブン</t>
    </rPh>
    <phoneticPr fontId="35"/>
  </si>
  <si>
    <t>介護分</t>
    <rPh sb="0" eb="2">
      <t>カイゴ</t>
    </rPh>
    <rPh sb="2" eb="3">
      <t>ブン</t>
    </rPh>
    <phoneticPr fontId="35"/>
  </si>
  <si>
    <t>均</t>
    <rPh sb="0" eb="1">
      <t>ヒトシ</t>
    </rPh>
    <phoneticPr fontId="34"/>
  </si>
  <si>
    <t>均7減</t>
    <rPh sb="0" eb="1">
      <t>キン</t>
    </rPh>
    <rPh sb="2" eb="3">
      <t>ゲン</t>
    </rPh>
    <phoneticPr fontId="34"/>
  </si>
  <si>
    <t>均5減</t>
    <rPh sb="0" eb="1">
      <t>キン</t>
    </rPh>
    <rPh sb="2" eb="3">
      <t>ゲン</t>
    </rPh>
    <phoneticPr fontId="34"/>
  </si>
  <si>
    <t>均2減</t>
    <rPh sb="0" eb="1">
      <t>キン</t>
    </rPh>
    <rPh sb="2" eb="3">
      <t>ゲン</t>
    </rPh>
    <phoneticPr fontId="34"/>
  </si>
  <si>
    <t>平</t>
    <rPh sb="0" eb="1">
      <t>ヘイ</t>
    </rPh>
    <phoneticPr fontId="35"/>
  </si>
  <si>
    <t>平7減</t>
    <rPh sb="0" eb="1">
      <t>ヘイ</t>
    </rPh>
    <rPh sb="2" eb="3">
      <t>ゲン</t>
    </rPh>
    <phoneticPr fontId="35"/>
  </si>
  <si>
    <t>平5減</t>
    <rPh sb="0" eb="1">
      <t>ヘイ</t>
    </rPh>
    <rPh sb="2" eb="3">
      <t>ゲン</t>
    </rPh>
    <phoneticPr fontId="35"/>
  </si>
  <si>
    <t>平2減</t>
    <rPh sb="0" eb="1">
      <t>ヘイ</t>
    </rPh>
    <rPh sb="2" eb="3">
      <t>ゲン</t>
    </rPh>
    <phoneticPr fontId="35"/>
  </si>
  <si>
    <t>平1/2</t>
    <rPh sb="0" eb="1">
      <t>ヘイ</t>
    </rPh>
    <phoneticPr fontId="35"/>
  </si>
  <si>
    <t>平7減1/2</t>
    <rPh sb="0" eb="1">
      <t>ヘイ</t>
    </rPh>
    <rPh sb="2" eb="3">
      <t>ゲン</t>
    </rPh>
    <phoneticPr fontId="35"/>
  </si>
  <si>
    <t>平5減1/2</t>
    <rPh sb="0" eb="1">
      <t>ヘイ</t>
    </rPh>
    <rPh sb="2" eb="3">
      <t>ゲン</t>
    </rPh>
    <phoneticPr fontId="35"/>
  </si>
  <si>
    <t>平2減1/2</t>
    <rPh sb="0" eb="1">
      <t>ヘイ</t>
    </rPh>
    <rPh sb="2" eb="3">
      <t>ゲン</t>
    </rPh>
    <phoneticPr fontId="35"/>
  </si>
  <si>
    <t>平3/4</t>
    <rPh sb="0" eb="1">
      <t>ヘイ</t>
    </rPh>
    <phoneticPr fontId="35"/>
  </si>
  <si>
    <t>平7減3/4</t>
    <rPh sb="0" eb="1">
      <t>ヘイ</t>
    </rPh>
    <rPh sb="2" eb="3">
      <t>ゲン</t>
    </rPh>
    <phoneticPr fontId="35"/>
  </si>
  <si>
    <t>平5減3/4</t>
    <rPh sb="0" eb="1">
      <t>ヘイ</t>
    </rPh>
    <rPh sb="2" eb="3">
      <t>ゲン</t>
    </rPh>
    <phoneticPr fontId="35"/>
  </si>
  <si>
    <t>平2減3/4</t>
    <rPh sb="0" eb="1">
      <t>ヘイ</t>
    </rPh>
    <rPh sb="2" eb="3">
      <t>ゲン</t>
    </rPh>
    <phoneticPr fontId="35"/>
  </si>
  <si>
    <t>料率</t>
    <rPh sb="0" eb="2">
      <t>リョウリツ</t>
    </rPh>
    <phoneticPr fontId="28"/>
  </si>
  <si>
    <t>均等割</t>
    <rPh sb="0" eb="3">
      <t>キントウワ</t>
    </rPh>
    <phoneticPr fontId="28"/>
  </si>
  <si>
    <t>平等割</t>
    <rPh sb="0" eb="2">
      <t>ビョウドウ</t>
    </rPh>
    <rPh sb="2" eb="3">
      <t>ワ</t>
    </rPh>
    <phoneticPr fontId="28"/>
  </si>
  <si>
    <t>均等割半額人数</t>
    <rPh sb="0" eb="3">
      <t>キントウワ</t>
    </rPh>
    <rPh sb="3" eb="5">
      <t>ハンガク</t>
    </rPh>
    <rPh sb="5" eb="7">
      <t>ニンズウ</t>
    </rPh>
    <phoneticPr fontId="28"/>
  </si>
  <si>
    <t>（区分）</t>
    <rPh sb="1" eb="3">
      <t>クブン</t>
    </rPh>
    <phoneticPr fontId="28"/>
  </si>
  <si>
    <t>該当区分</t>
    <rPh sb="0" eb="2">
      <t>ガイトウ</t>
    </rPh>
    <rPh sb="2" eb="4">
      <t>クブン</t>
    </rPh>
    <phoneticPr fontId="28"/>
  </si>
  <si>
    <t>2減の場合</t>
    <rPh sb="1" eb="2">
      <t>ゲン</t>
    </rPh>
    <rPh sb="3" eb="5">
      <t>バアイ</t>
    </rPh>
    <phoneticPr fontId="28"/>
  </si>
  <si>
    <t>区分2</t>
    <rPh sb="0" eb="2">
      <t>クブン</t>
    </rPh>
    <phoneticPr fontId="28"/>
  </si>
  <si>
    <t>(区分2)</t>
    <rPh sb="1" eb="3">
      <t>クブン</t>
    </rPh>
    <phoneticPr fontId="28"/>
  </si>
  <si>
    <t>区分1</t>
    <rPh sb="0" eb="2">
      <t>クブン</t>
    </rPh>
    <phoneticPr fontId="28"/>
  </si>
  <si>
    <t>-</t>
    <phoneticPr fontId="28"/>
  </si>
  <si>
    <t>（旧国用）</t>
    <rPh sb="1" eb="2">
      <t>キュウ</t>
    </rPh>
    <rPh sb="2" eb="3">
      <t>クニ</t>
    </rPh>
    <rPh sb="3" eb="4">
      <t>ヨウ</t>
    </rPh>
    <phoneticPr fontId="28"/>
  </si>
  <si>
    <t>非自発的失業者</t>
    <rPh sb="0" eb="1">
      <t>ヒ</t>
    </rPh>
    <rPh sb="1" eb="3">
      <t>ジハツ</t>
    </rPh>
    <rPh sb="3" eb="4">
      <t>テキ</t>
    </rPh>
    <rPh sb="4" eb="7">
      <t>シツギョウシャ</t>
    </rPh>
    <phoneticPr fontId="2"/>
  </si>
  <si>
    <t>平等割1/2</t>
    <rPh sb="0" eb="2">
      <t>ビョウドウ</t>
    </rPh>
    <rPh sb="2" eb="3">
      <t>ワ</t>
    </rPh>
    <phoneticPr fontId="28"/>
  </si>
  <si>
    <t>の枠中の背景色が白色の箇所を選択・入力してください。</t>
    <rPh sb="4" eb="7">
      <t>ハイケイショク</t>
    </rPh>
    <rPh sb="8" eb="10">
      <t>シロイロ</t>
    </rPh>
    <rPh sb="11" eb="13">
      <t>カショ</t>
    </rPh>
    <rPh sb="14" eb="16">
      <t>センタク</t>
    </rPh>
    <phoneticPr fontId="1"/>
  </si>
  <si>
    <t>+</t>
    <phoneticPr fontId="1"/>
  </si>
  <si>
    <t>+</t>
    <phoneticPr fontId="1"/>
  </si>
  <si>
    <t>⇒</t>
    <phoneticPr fontId="1"/>
  </si>
  <si>
    <t>年齢区分</t>
    <rPh sb="0" eb="2">
      <t>ネンレイ</t>
    </rPh>
    <rPh sb="2" eb="4">
      <t>クブン</t>
    </rPh>
    <phoneticPr fontId="28"/>
  </si>
  <si>
    <t>非自発</t>
    <rPh sb="0" eb="1">
      <t>ヒ</t>
    </rPh>
    <rPh sb="1" eb="3">
      <t>ジハツ</t>
    </rPh>
    <phoneticPr fontId="28"/>
  </si>
  <si>
    <t>１　入力項目の説明</t>
    <rPh sb="2" eb="4">
      <t>ニュウリョク</t>
    </rPh>
    <rPh sb="4" eb="6">
      <t>コウモク</t>
    </rPh>
    <rPh sb="7" eb="9">
      <t>セツメイ</t>
    </rPh>
    <phoneticPr fontId="28"/>
  </si>
  <si>
    <t>軽減調整</t>
    <rPh sb="0" eb="2">
      <t>ケイゲン</t>
    </rPh>
    <rPh sb="2" eb="4">
      <t>チョウセイ</t>
    </rPh>
    <phoneticPr fontId="28"/>
  </si>
  <si>
    <t>R3年度～</t>
    <rPh sb="2" eb="4">
      <t>ネンド</t>
    </rPh>
    <phoneticPr fontId="2"/>
  </si>
  <si>
    <t>年金以外の所得の合計額区分</t>
    <rPh sb="0" eb="4">
      <t>ネンキンイガイ</t>
    </rPh>
    <rPh sb="5" eb="7">
      <t>ショトク</t>
    </rPh>
    <rPh sb="8" eb="10">
      <t>ゴウケイ</t>
    </rPh>
    <rPh sb="10" eb="11">
      <t>ガク</t>
    </rPh>
    <rPh sb="11" eb="13">
      <t>クブン</t>
    </rPh>
    <phoneticPr fontId="28"/>
  </si>
  <si>
    <t>６５歳未満</t>
    <phoneticPr fontId="28"/>
  </si>
  <si>
    <t>年金収入</t>
    <rPh sb="0" eb="2">
      <t>ネンキン</t>
    </rPh>
    <rPh sb="2" eb="4">
      <t>シュウニュウ</t>
    </rPh>
    <phoneticPr fontId="2"/>
  </si>
  <si>
    <t>年金収入</t>
    <rPh sb="0" eb="2">
      <t>ネンキン</t>
    </rPh>
    <rPh sb="2" eb="4">
      <t>シュウニュウ</t>
    </rPh>
    <phoneticPr fontId="28"/>
  </si>
  <si>
    <t>～1,000万円</t>
    <rPh sb="6" eb="8">
      <t>マンエン</t>
    </rPh>
    <phoneticPr fontId="28"/>
  </si>
  <si>
    <t>～2,000万円</t>
    <rPh sb="6" eb="8">
      <t>マンエン</t>
    </rPh>
    <phoneticPr fontId="28"/>
  </si>
  <si>
    <t>2,000万円超</t>
    <rPh sb="5" eb="7">
      <t>マンエン</t>
    </rPh>
    <rPh sb="7" eb="8">
      <t>チョウ</t>
    </rPh>
    <phoneticPr fontId="28"/>
  </si>
  <si>
    <t>公的年金一定額超</t>
    <rPh sb="0" eb="2">
      <t>コウテキ</t>
    </rPh>
    <rPh sb="2" eb="4">
      <t>ネンキン</t>
    </rPh>
    <rPh sb="4" eb="6">
      <t>イッテイ</t>
    </rPh>
    <rPh sb="6" eb="7">
      <t>ガク</t>
    </rPh>
    <rPh sb="7" eb="8">
      <t>チョウ</t>
    </rPh>
    <phoneticPr fontId="28"/>
  </si>
  <si>
    <t>基礎控除額</t>
    <rPh sb="0" eb="2">
      <t>キソ</t>
    </rPh>
    <rPh sb="2" eb="4">
      <t>コウジョ</t>
    </rPh>
    <rPh sb="4" eb="5">
      <t>ガク</t>
    </rPh>
    <phoneticPr fontId="28"/>
  </si>
  <si>
    <t>０歳から39歳まで</t>
    <rPh sb="1" eb="2">
      <t>サイ</t>
    </rPh>
    <rPh sb="6" eb="7">
      <t>サイ</t>
    </rPh>
    <phoneticPr fontId="1"/>
  </si>
  <si>
    <t>40歳から64歳まで</t>
    <rPh sb="2" eb="3">
      <t>サイ</t>
    </rPh>
    <rPh sb="7" eb="8">
      <t>サイ</t>
    </rPh>
    <phoneticPr fontId="1"/>
  </si>
  <si>
    <t>65歳から74歳まで</t>
    <rPh sb="2" eb="3">
      <t>サイ</t>
    </rPh>
    <rPh sb="7" eb="8">
      <t>サイ</t>
    </rPh>
    <phoneticPr fontId="1"/>
  </si>
  <si>
    <r>
      <t>③公的年金</t>
    </r>
    <r>
      <rPr>
        <b/>
        <sz val="9"/>
        <color rgb="FFFF0000"/>
        <rFont val="ＭＳ Ｐゴシック"/>
        <family val="3"/>
        <charset val="128"/>
      </rPr>
      <t>収入</t>
    </r>
    <rPh sb="1" eb="3">
      <t>コウテキ</t>
    </rPh>
    <phoneticPr fontId="1"/>
  </si>
  <si>
    <r>
      <t>②給与</t>
    </r>
    <r>
      <rPr>
        <b/>
        <sz val="9"/>
        <color rgb="FFFF0000"/>
        <rFont val="ＭＳ Ｐゴシック"/>
        <family val="3"/>
        <charset val="128"/>
      </rPr>
      <t>収入</t>
    </r>
    <phoneticPr fontId="1"/>
  </si>
  <si>
    <t>（下段：賦課基準額）</t>
    <rPh sb="1" eb="3">
      <t>ゲダン</t>
    </rPh>
    <rPh sb="4" eb="6">
      <t>フカ</t>
    </rPh>
    <rPh sb="6" eb="8">
      <t>キジュン</t>
    </rPh>
    <rPh sb="8" eb="9">
      <t>ガク</t>
    </rPh>
    <phoneticPr fontId="1"/>
  </si>
  <si>
    <t>(下段：A給与所得)</t>
    <rPh sb="1" eb="3">
      <t>ゲダン</t>
    </rPh>
    <rPh sb="5" eb="7">
      <t>キュウヨ</t>
    </rPh>
    <rPh sb="7" eb="9">
      <t>ショトク</t>
    </rPh>
    <phoneticPr fontId="1"/>
  </si>
  <si>
    <t>（下段：B年金所得）</t>
    <rPh sb="1" eb="3">
      <t>ゲダン</t>
    </rPh>
    <rPh sb="5" eb="7">
      <t>ネンキン</t>
    </rPh>
    <rPh sb="7" eb="9">
      <t>ショトク</t>
    </rPh>
    <phoneticPr fontId="1"/>
  </si>
  <si>
    <t>（下段：Cその他の所得）</t>
    <rPh sb="1" eb="3">
      <t>ゲダン</t>
    </rPh>
    <rPh sb="7" eb="8">
      <t>タ</t>
    </rPh>
    <rPh sb="9" eb="11">
      <t>ショトク</t>
    </rPh>
    <phoneticPr fontId="1"/>
  </si>
  <si>
    <t>総所得金額等
(A+B+C）（※１）</t>
    <rPh sb="0" eb="3">
      <t>ソウショトク</t>
    </rPh>
    <rPh sb="3" eb="5">
      <t>キンガク</t>
    </rPh>
    <rPh sb="5" eb="6">
      <t>トウ</t>
    </rPh>
    <phoneticPr fontId="1"/>
  </si>
  <si>
    <t>◎条件を入力いただきましたら、「計算」シートに試算の結果が表示されます。</t>
    <rPh sb="1" eb="3">
      <t>ジョウケン</t>
    </rPh>
    <rPh sb="4" eb="6">
      <t>ニュウリョク</t>
    </rPh>
    <rPh sb="16" eb="18">
      <t>ケイサン</t>
    </rPh>
    <rPh sb="23" eb="25">
      <t>シサン</t>
    </rPh>
    <rPh sb="26" eb="28">
      <t>ケッカ</t>
    </rPh>
    <rPh sb="29" eb="31">
      <t>ヒョウジ</t>
    </rPh>
    <phoneticPr fontId="28"/>
  </si>
  <si>
    <t>①年齢区分</t>
    <rPh sb="1" eb="3">
      <t>ネンレイ</t>
    </rPh>
    <rPh sb="3" eb="5">
      <t>クブン</t>
    </rPh>
    <phoneticPr fontId="28"/>
  </si>
  <si>
    <t>２　注意事項</t>
    <rPh sb="2" eb="4">
      <t>チュウイ</t>
    </rPh>
    <rPh sb="4" eb="6">
      <t>ジコウ</t>
    </rPh>
    <phoneticPr fontId="28"/>
  </si>
  <si>
    <t>　国民健康保険に加入する人の年齢区分を「0歳から39歳まで」、「40歳から64歳まで」、「65歳から74歳まで」の中から選択してください。
　なお、世帯主が他の医療保険制度（勤務先の健康保険や後期高齢者医療など）に加入されている場合、世帯主の年齢区分は「加入しない」を選択してください。</t>
    <rPh sb="1" eb="3">
      <t>コクミン</t>
    </rPh>
    <rPh sb="3" eb="5">
      <t>ケンコウ</t>
    </rPh>
    <rPh sb="5" eb="7">
      <t>ホケン</t>
    </rPh>
    <rPh sb="8" eb="10">
      <t>カニュウ</t>
    </rPh>
    <rPh sb="12" eb="13">
      <t>ヒト</t>
    </rPh>
    <rPh sb="14" eb="16">
      <t>ネンレイ</t>
    </rPh>
    <rPh sb="16" eb="18">
      <t>クブン</t>
    </rPh>
    <rPh sb="21" eb="22">
      <t>サイ</t>
    </rPh>
    <rPh sb="26" eb="27">
      <t>サイ</t>
    </rPh>
    <rPh sb="34" eb="35">
      <t>サイ</t>
    </rPh>
    <rPh sb="39" eb="40">
      <t>サイ</t>
    </rPh>
    <rPh sb="47" eb="48">
      <t>サイ</t>
    </rPh>
    <rPh sb="52" eb="53">
      <t>サイ</t>
    </rPh>
    <rPh sb="57" eb="58">
      <t>ナカ</t>
    </rPh>
    <rPh sb="60" eb="62">
      <t>センタク</t>
    </rPh>
    <rPh sb="74" eb="77">
      <t>セタイヌシ</t>
    </rPh>
    <rPh sb="78" eb="79">
      <t>タ</t>
    </rPh>
    <rPh sb="80" eb="82">
      <t>イリョウ</t>
    </rPh>
    <rPh sb="82" eb="84">
      <t>ホケン</t>
    </rPh>
    <rPh sb="84" eb="86">
      <t>セイド</t>
    </rPh>
    <rPh sb="87" eb="90">
      <t>キンムサキ</t>
    </rPh>
    <rPh sb="91" eb="93">
      <t>ケンコウ</t>
    </rPh>
    <rPh sb="93" eb="95">
      <t>ホケン</t>
    </rPh>
    <rPh sb="96" eb="98">
      <t>コウキ</t>
    </rPh>
    <rPh sb="98" eb="101">
      <t>コウレイシャ</t>
    </rPh>
    <rPh sb="101" eb="103">
      <t>イリョウ</t>
    </rPh>
    <rPh sb="107" eb="109">
      <t>カニュウ</t>
    </rPh>
    <rPh sb="114" eb="116">
      <t>バアイ</t>
    </rPh>
    <rPh sb="117" eb="120">
      <t>セタイヌシ</t>
    </rPh>
    <rPh sb="121" eb="123">
      <t>ネンレイ</t>
    </rPh>
    <rPh sb="123" eb="125">
      <t>クブン</t>
    </rPh>
    <rPh sb="127" eb="129">
      <t>カニュウ</t>
    </rPh>
    <rPh sb="134" eb="136">
      <t>センタク</t>
    </rPh>
    <phoneticPr fontId="28"/>
  </si>
  <si>
    <t>４３万円</t>
    <phoneticPr fontId="28"/>
  </si>
  <si>
    <t>＋｛１０万円×（給与所得者等の数－１）｝</t>
    <phoneticPr fontId="28"/>
  </si>
  <si>
    <t>未使用</t>
    <rPh sb="0" eb="3">
      <t>ミシヨウ</t>
    </rPh>
    <phoneticPr fontId="28"/>
  </si>
  <si>
    <t>軽減設定</t>
    <rPh sb="0" eb="2">
      <t>ケイゲン</t>
    </rPh>
    <rPh sb="2" eb="4">
      <t>セッテイ</t>
    </rPh>
    <phoneticPr fontId="28"/>
  </si>
  <si>
    <t>人数設定（所得なしのみ）</t>
    <rPh sb="0" eb="2">
      <t>ニンズウ</t>
    </rPh>
    <rPh sb="2" eb="4">
      <t>セッテイ</t>
    </rPh>
    <rPh sb="5" eb="7">
      <t>ショトク</t>
    </rPh>
    <phoneticPr fontId="28"/>
  </si>
  <si>
    <t>旧国（平等割 1/2 or 3/4）</t>
    <rPh sb="0" eb="1">
      <t>キュウ</t>
    </rPh>
    <rPh sb="1" eb="2">
      <t>コク</t>
    </rPh>
    <rPh sb="3" eb="5">
      <t>ビョウドウ</t>
    </rPh>
    <rPh sb="5" eb="6">
      <t>ワ</t>
    </rPh>
    <phoneticPr fontId="28"/>
  </si>
  <si>
    <t>旧被扶養者(均等割　1/2)</t>
    <rPh sb="0" eb="1">
      <t>キュウ</t>
    </rPh>
    <rPh sb="1" eb="5">
      <t>ヒフヨウシャ</t>
    </rPh>
    <rPh sb="6" eb="9">
      <t>キントウワ</t>
    </rPh>
    <phoneticPr fontId="28"/>
  </si>
  <si>
    <t>◎この試算シートでは、おおよその年間保険料と１か月あたりの月額保険料の試算ができます。</t>
    <rPh sb="3" eb="5">
      <t>シサン</t>
    </rPh>
    <rPh sb="16" eb="18">
      <t>ネンカン</t>
    </rPh>
    <rPh sb="18" eb="21">
      <t>ホケンリョウ</t>
    </rPh>
    <rPh sb="24" eb="25">
      <t>ゲツ</t>
    </rPh>
    <rPh sb="29" eb="31">
      <t>ゲツガク</t>
    </rPh>
    <rPh sb="31" eb="34">
      <t>ホケンリョウ</t>
    </rPh>
    <rPh sb="35" eb="37">
      <t>シサン</t>
    </rPh>
    <phoneticPr fontId="28"/>
  </si>
  <si>
    <t>◎以下の「入力項目の説明」と「注意事項」をご確認いただき、「計算」シートに入力してください。</t>
    <rPh sb="1" eb="3">
      <t>イカ</t>
    </rPh>
    <rPh sb="5" eb="7">
      <t>ニュウリョク</t>
    </rPh>
    <rPh sb="7" eb="9">
      <t>コウモク</t>
    </rPh>
    <rPh sb="10" eb="12">
      <t>セツメイ</t>
    </rPh>
    <rPh sb="15" eb="17">
      <t>チュウイ</t>
    </rPh>
    <rPh sb="17" eb="19">
      <t>ジコウ</t>
    </rPh>
    <rPh sb="22" eb="24">
      <t>カクニン</t>
    </rPh>
    <rPh sb="30" eb="32">
      <t>ケイサン</t>
    </rPh>
    <rPh sb="37" eb="39">
      <t>ニュウリョク</t>
    </rPh>
    <phoneticPr fontId="28"/>
  </si>
  <si>
    <t>所得金額調整控除（ア）</t>
    <rPh sb="0" eb="2">
      <t>ショトク</t>
    </rPh>
    <rPh sb="2" eb="4">
      <t>キンガク</t>
    </rPh>
    <rPh sb="4" eb="6">
      <t>チョウセイ</t>
    </rPh>
    <rPh sb="6" eb="8">
      <t>コウジョ</t>
    </rPh>
    <phoneticPr fontId="28"/>
  </si>
  <si>
    <t>所得金額調整控除（イ）</t>
    <rPh sb="0" eb="2">
      <t>ショトク</t>
    </rPh>
    <rPh sb="2" eb="4">
      <t>キンガク</t>
    </rPh>
    <rPh sb="4" eb="6">
      <t>チョウセイ</t>
    </rPh>
    <rPh sb="6" eb="8">
      <t>コウジョ</t>
    </rPh>
    <phoneticPr fontId="28"/>
  </si>
  <si>
    <t>所得金額調整控除額（ア）</t>
    <rPh sb="0" eb="2">
      <t>ショトク</t>
    </rPh>
    <rPh sb="2" eb="4">
      <t>キンガク</t>
    </rPh>
    <rPh sb="4" eb="6">
      <t>チョウセイ</t>
    </rPh>
    <rPh sb="6" eb="8">
      <t>コウジョ</t>
    </rPh>
    <rPh sb="8" eb="9">
      <t>ガク</t>
    </rPh>
    <phoneticPr fontId="28"/>
  </si>
  <si>
    <t>※所得（特定支出等の場合）</t>
    <rPh sb="1" eb="3">
      <t>ショトク</t>
    </rPh>
    <rPh sb="4" eb="6">
      <t>トクテイ</t>
    </rPh>
    <rPh sb="6" eb="8">
      <t>シシュツ</t>
    </rPh>
    <rPh sb="8" eb="9">
      <t>トウ</t>
    </rPh>
    <rPh sb="10" eb="12">
      <t>バアイ</t>
    </rPh>
    <phoneticPr fontId="28"/>
  </si>
  <si>
    <t>年齢</t>
    <rPh sb="0" eb="2">
      <t>ネンレイ</t>
    </rPh>
    <phoneticPr fontId="28"/>
  </si>
  <si>
    <t>世帯主</t>
    <rPh sb="0" eb="3">
      <t>セタイヌシ</t>
    </rPh>
    <phoneticPr fontId="28"/>
  </si>
  <si>
    <t>加入者１</t>
    <rPh sb="0" eb="3">
      <t>カニュウシャ</t>
    </rPh>
    <phoneticPr fontId="28"/>
  </si>
  <si>
    <t>加入者２</t>
    <rPh sb="0" eb="3">
      <t>カニュウシャ</t>
    </rPh>
    <phoneticPr fontId="28"/>
  </si>
  <si>
    <t>加入者３</t>
    <rPh sb="0" eb="3">
      <t>カニュウシャ</t>
    </rPh>
    <phoneticPr fontId="28"/>
  </si>
  <si>
    <t>加入者４</t>
    <rPh sb="0" eb="3">
      <t>カニュウシャ</t>
    </rPh>
    <phoneticPr fontId="28"/>
  </si>
  <si>
    <t>加入者５</t>
    <rPh sb="0" eb="3">
      <t>カニュウシャ</t>
    </rPh>
    <phoneticPr fontId="28"/>
  </si>
  <si>
    <t>当該年の1/2時点の年齢</t>
    <rPh sb="0" eb="2">
      <t>トウガイ</t>
    </rPh>
    <rPh sb="2" eb="3">
      <t>ネン</t>
    </rPh>
    <rPh sb="7" eb="9">
      <t>ジテン</t>
    </rPh>
    <rPh sb="10" eb="12">
      <t>ネンレイ</t>
    </rPh>
    <phoneticPr fontId="28"/>
  </si>
  <si>
    <t>年金基準日</t>
    <rPh sb="0" eb="2">
      <t>ネンキン</t>
    </rPh>
    <rPh sb="2" eb="5">
      <t>キジュンビ</t>
    </rPh>
    <phoneticPr fontId="28"/>
  </si>
  <si>
    <t>←から導出した年齢区分</t>
    <rPh sb="3" eb="5">
      <t>ドウシュツ</t>
    </rPh>
    <rPh sb="7" eb="9">
      <t>ネンレイ</t>
    </rPh>
    <rPh sb="9" eb="11">
      <t>クブン</t>
    </rPh>
    <phoneticPr fontId="28"/>
  </si>
  <si>
    <t>基準日</t>
    <rPh sb="0" eb="3">
      <t>キジュンビ</t>
    </rPh>
    <phoneticPr fontId="28"/>
  </si>
  <si>
    <t>基準日時点の年齢</t>
    <rPh sb="0" eb="3">
      <t>キジュンビ</t>
    </rPh>
    <rPh sb="3" eb="5">
      <t>ジテン</t>
    </rPh>
    <rPh sb="6" eb="8">
      <t>ネンレイ</t>
    </rPh>
    <phoneticPr fontId="28"/>
  </si>
  <si>
    <t>年齢区分</t>
    <rPh sb="0" eb="2">
      <t>ネンレイ</t>
    </rPh>
    <rPh sb="2" eb="4">
      <t>クブン</t>
    </rPh>
    <phoneticPr fontId="28"/>
  </si>
  <si>
    <t>旧被扶所得割減免</t>
    <rPh sb="0" eb="1">
      <t>キュウ</t>
    </rPh>
    <rPh sb="1" eb="2">
      <t>ヒ</t>
    </rPh>
    <rPh sb="2" eb="3">
      <t>フ</t>
    </rPh>
    <rPh sb="3" eb="5">
      <t>ショトク</t>
    </rPh>
    <rPh sb="5" eb="6">
      <t>ワリ</t>
    </rPh>
    <rPh sb="6" eb="8">
      <t>ゲンメン</t>
    </rPh>
    <phoneticPr fontId="28"/>
  </si>
  <si>
    <t>第1期</t>
    <rPh sb="0" eb="1">
      <t>ダイ</t>
    </rPh>
    <rPh sb="2" eb="3">
      <t>キ</t>
    </rPh>
    <phoneticPr fontId="35"/>
  </si>
  <si>
    <t>第2期</t>
    <rPh sb="0" eb="1">
      <t>ダイ</t>
    </rPh>
    <rPh sb="2" eb="3">
      <t>キ</t>
    </rPh>
    <phoneticPr fontId="35"/>
  </si>
  <si>
    <t>第3期</t>
    <rPh sb="0" eb="1">
      <t>ダイ</t>
    </rPh>
    <rPh sb="2" eb="3">
      <t>キ</t>
    </rPh>
    <phoneticPr fontId="35"/>
  </si>
  <si>
    <t>第4期</t>
    <rPh sb="0" eb="1">
      <t>ダイ</t>
    </rPh>
    <rPh sb="2" eb="3">
      <t>キ</t>
    </rPh>
    <phoneticPr fontId="35"/>
  </si>
  <si>
    <t>第5期</t>
    <rPh sb="0" eb="1">
      <t>ダイ</t>
    </rPh>
    <rPh sb="2" eb="3">
      <t>キ</t>
    </rPh>
    <phoneticPr fontId="35"/>
  </si>
  <si>
    <t>第6期</t>
    <rPh sb="0" eb="1">
      <t>ダイ</t>
    </rPh>
    <rPh sb="2" eb="3">
      <t>キ</t>
    </rPh>
    <phoneticPr fontId="35"/>
  </si>
  <si>
    <t>第7期</t>
    <rPh sb="0" eb="1">
      <t>ダイ</t>
    </rPh>
    <rPh sb="2" eb="3">
      <t>キ</t>
    </rPh>
    <phoneticPr fontId="35"/>
  </si>
  <si>
    <t>第8期</t>
    <rPh sb="0" eb="1">
      <t>ダイ</t>
    </rPh>
    <rPh sb="2" eb="3">
      <t>キ</t>
    </rPh>
    <phoneticPr fontId="35"/>
  </si>
  <si>
    <t>第9期</t>
    <rPh sb="0" eb="1">
      <t>ダイ</t>
    </rPh>
    <rPh sb="2" eb="3">
      <t>キ</t>
    </rPh>
    <phoneticPr fontId="35"/>
  </si>
  <si>
    <t>第10期</t>
    <rPh sb="0" eb="1">
      <t>ダイ</t>
    </rPh>
    <rPh sb="3" eb="4">
      <t>キ</t>
    </rPh>
    <phoneticPr fontId="35"/>
  </si>
  <si>
    <t>過〇期</t>
    <phoneticPr fontId="35"/>
  </si>
  <si>
    <t>計</t>
    <rPh sb="0" eb="1">
      <t>ケイ</t>
    </rPh>
    <phoneticPr fontId="35"/>
  </si>
  <si>
    <t>賦課額</t>
    <rPh sb="0" eb="3">
      <t>フカガク</t>
    </rPh>
    <phoneticPr fontId="35"/>
  </si>
  <si>
    <t>開始期別</t>
    <rPh sb="0" eb="2">
      <t>カイシ</t>
    </rPh>
    <rPh sb="2" eb="3">
      <t>キ</t>
    </rPh>
    <rPh sb="3" eb="4">
      <t>ベツ</t>
    </rPh>
    <phoneticPr fontId="35"/>
  </si>
  <si>
    <t>前</t>
    <rPh sb="0" eb="1">
      <t>マエ</t>
    </rPh>
    <phoneticPr fontId="35"/>
  </si>
  <si>
    <t>後</t>
    <rPh sb="0" eb="1">
      <t>アト</t>
    </rPh>
    <phoneticPr fontId="35"/>
  </si>
  <si>
    <t>年金区分判別方法</t>
    <rPh sb="0" eb="2">
      <t>ネンキン</t>
    </rPh>
    <rPh sb="2" eb="4">
      <t>クブン</t>
    </rPh>
    <rPh sb="4" eb="6">
      <t>ハンベツ</t>
    </rPh>
    <rPh sb="6" eb="8">
      <t>ホウホウ</t>
    </rPh>
    <phoneticPr fontId="28"/>
  </si>
  <si>
    <t>65歳以上強制</t>
    <rPh sb="5" eb="7">
      <t>キョウセイ</t>
    </rPh>
    <phoneticPr fontId="28"/>
  </si>
  <si>
    <t>1月1日65歳以上→1</t>
    <rPh sb="1" eb="2">
      <t>ガツ</t>
    </rPh>
    <rPh sb="3" eb="4">
      <t>ニチ</t>
    </rPh>
    <rPh sb="6" eb="7">
      <t>サイ</t>
    </rPh>
    <rPh sb="7" eb="9">
      <t>イジョウ</t>
    </rPh>
    <phoneticPr fontId="28"/>
  </si>
  <si>
    <t>年金以外の所得の合計額前</t>
    <rPh sb="0" eb="2">
      <t>ネンキン</t>
    </rPh>
    <rPh sb="2" eb="4">
      <t>イガイ</t>
    </rPh>
    <rPh sb="5" eb="7">
      <t>ショトク</t>
    </rPh>
    <rPh sb="8" eb="10">
      <t>ゴウケイ</t>
    </rPh>
    <rPh sb="10" eb="11">
      <t>ガク</t>
    </rPh>
    <rPh sb="11" eb="12">
      <t>マエ</t>
    </rPh>
    <phoneticPr fontId="28"/>
  </si>
  <si>
    <t>給与所得者等の計</t>
    <rPh sb="0" eb="2">
      <t>キュウヨ</t>
    </rPh>
    <rPh sb="2" eb="4">
      <t>ショトク</t>
    </rPh>
    <rPh sb="4" eb="5">
      <t>シャ</t>
    </rPh>
    <rPh sb="5" eb="6">
      <t>トウ</t>
    </rPh>
    <rPh sb="7" eb="8">
      <t>ケイ</t>
    </rPh>
    <phoneticPr fontId="28"/>
  </si>
  <si>
    <t>給与所得者等</t>
    <rPh sb="0" eb="2">
      <t>キュウヨ</t>
    </rPh>
    <rPh sb="2" eb="4">
      <t>ショトク</t>
    </rPh>
    <rPh sb="4" eb="5">
      <t>シャ</t>
    </rPh>
    <rPh sb="5" eb="6">
      <t>トウ</t>
    </rPh>
    <phoneticPr fontId="28"/>
  </si>
  <si>
    <t>予備</t>
    <rPh sb="0" eb="2">
      <t>ヨビ</t>
    </rPh>
    <phoneticPr fontId="28"/>
  </si>
  <si>
    <t>-</t>
    <phoneticPr fontId="28"/>
  </si>
  <si>
    <t>-</t>
    <phoneticPr fontId="28"/>
  </si>
  <si>
    <t>軽減基準</t>
    <rPh sb="0" eb="2">
      <t>ケイゲン</t>
    </rPh>
    <rPh sb="2" eb="4">
      <t>キジュン</t>
    </rPh>
    <phoneticPr fontId="28"/>
  </si>
  <si>
    <t>番号</t>
    <rPh sb="0" eb="2">
      <t>バンゴウ</t>
    </rPh>
    <phoneticPr fontId="28"/>
  </si>
  <si>
    <r>
      <t>④その他の</t>
    </r>
    <r>
      <rPr>
        <b/>
        <sz val="9"/>
        <color rgb="FF0894EA"/>
        <rFont val="ＭＳ Ｐゴシック"/>
        <family val="3"/>
        <charset val="128"/>
      </rPr>
      <t>所得</t>
    </r>
    <phoneticPr fontId="1"/>
  </si>
  <si>
    <r>
      <t>②給与</t>
    </r>
    <r>
      <rPr>
        <u val="double"/>
        <sz val="11"/>
        <color rgb="FFFF0000"/>
        <rFont val="ＭＳ Ｐゴシック"/>
        <family val="3"/>
        <charset val="128"/>
        <scheme val="minor"/>
      </rPr>
      <t>収入</t>
    </r>
    <rPh sb="1" eb="3">
      <t>キュウヨ</t>
    </rPh>
    <rPh sb="3" eb="5">
      <t>シュウニュウ</t>
    </rPh>
    <phoneticPr fontId="28"/>
  </si>
  <si>
    <r>
      <t>③公的年金</t>
    </r>
    <r>
      <rPr>
        <u val="double"/>
        <sz val="11"/>
        <color rgb="FFFF0000"/>
        <rFont val="ＭＳ Ｐゴシック"/>
        <family val="3"/>
        <charset val="128"/>
        <scheme val="minor"/>
      </rPr>
      <t>収入</t>
    </r>
    <rPh sb="1" eb="3">
      <t>コウテキ</t>
    </rPh>
    <rPh sb="3" eb="5">
      <t>ネンキン</t>
    </rPh>
    <rPh sb="5" eb="7">
      <t>シュウニュウ</t>
    </rPh>
    <phoneticPr fontId="28"/>
  </si>
  <si>
    <r>
      <t>④その他の</t>
    </r>
    <r>
      <rPr>
        <u val="double"/>
        <sz val="11"/>
        <color rgb="FF0894EA"/>
        <rFont val="ＭＳ Ｐゴシック"/>
        <family val="3"/>
        <charset val="128"/>
        <scheme val="minor"/>
      </rPr>
      <t>所得</t>
    </r>
    <rPh sb="3" eb="4">
      <t>タ</t>
    </rPh>
    <rPh sb="5" eb="7">
      <t>ショトク</t>
    </rPh>
    <phoneticPr fontId="28"/>
  </si>
  <si>
    <t>給与所得
（調整控除前）</t>
    <rPh sb="0" eb="2">
      <t>キュウヨ</t>
    </rPh>
    <rPh sb="2" eb="4">
      <t>ショトク</t>
    </rPh>
    <rPh sb="6" eb="8">
      <t>チョウセイ</t>
    </rPh>
    <rPh sb="8" eb="10">
      <t>コウジョ</t>
    </rPh>
    <rPh sb="10" eb="11">
      <t>マエ</t>
    </rPh>
    <phoneticPr fontId="28"/>
  </si>
  <si>
    <t>給与所得
（調整控除後）</t>
    <rPh sb="0" eb="2">
      <t>キュウヨ</t>
    </rPh>
    <rPh sb="2" eb="4">
      <t>ショトク</t>
    </rPh>
    <rPh sb="6" eb="8">
      <t>チョウセイ</t>
    </rPh>
    <rPh sb="8" eb="10">
      <t>コウジョ</t>
    </rPh>
    <rPh sb="10" eb="11">
      <t>ゴ</t>
    </rPh>
    <phoneticPr fontId="28"/>
  </si>
  <si>
    <t>軽減判定用年金所得</t>
    <rPh sb="0" eb="4">
      <t>ケイゲンハンテイ</t>
    </rPh>
    <rPh sb="4" eb="5">
      <t>ヨウ</t>
    </rPh>
    <rPh sb="5" eb="9">
      <t>ネンキンショトク</t>
    </rPh>
    <phoneticPr fontId="28"/>
  </si>
  <si>
    <t>所得金額調整控除（イ）_軽減</t>
    <rPh sb="0" eb="2">
      <t>ショトク</t>
    </rPh>
    <rPh sb="2" eb="4">
      <t>キンガク</t>
    </rPh>
    <rPh sb="4" eb="6">
      <t>チョウセイ</t>
    </rPh>
    <rPh sb="6" eb="8">
      <t>コウジョ</t>
    </rPh>
    <rPh sb="12" eb="14">
      <t>ケイゲン</t>
    </rPh>
    <phoneticPr fontId="28"/>
  </si>
  <si>
    <t>給与所得
（調整控除後）_軽減</t>
    <rPh sb="0" eb="2">
      <t>キュウヨ</t>
    </rPh>
    <rPh sb="2" eb="4">
      <t>ショトク</t>
    </rPh>
    <rPh sb="6" eb="8">
      <t>チョウセイ</t>
    </rPh>
    <rPh sb="8" eb="10">
      <t>コウジョ</t>
    </rPh>
    <rPh sb="10" eb="11">
      <t>ゴ</t>
    </rPh>
    <rPh sb="13" eb="15">
      <t>ケイゲン</t>
    </rPh>
    <phoneticPr fontId="28"/>
  </si>
  <si>
    <t>自動</t>
    <phoneticPr fontId="28"/>
  </si>
  <si>
    <t>年齢区分</t>
  </si>
  <si>
    <t>加入しない</t>
    <rPh sb="0" eb="2">
      <t>カニュウ</t>
    </rPh>
    <phoneticPr fontId="1"/>
  </si>
  <si>
    <r>
      <rPr>
        <sz val="10"/>
        <rFont val="ＭＳ Ｐゴシック"/>
        <family val="3"/>
        <charset val="128"/>
        <scheme val="minor"/>
      </rPr>
      <t>　 この試算シートでは、おおよその年間保険料と１か月あたりの月額保険料の試算ができます。</t>
    </r>
    <r>
      <rPr>
        <b/>
        <sz val="11"/>
        <color rgb="FFFF0000"/>
        <rFont val="ＭＳ Ｐゴシック"/>
        <family val="3"/>
        <charset val="128"/>
        <scheme val="minor"/>
      </rPr>
      <t xml:space="preserve">
　</t>
    </r>
    <r>
      <rPr>
        <sz val="10"/>
        <rFont val="ＭＳ Ｐゴシック"/>
        <family val="3"/>
        <charset val="128"/>
        <scheme val="minor"/>
      </rPr>
      <t>保険料の月割計算等には対応していません。(右下の注意事項を参照してください。)</t>
    </r>
    <rPh sb="67" eb="68">
      <t>ミギ</t>
    </rPh>
    <rPh sb="68" eb="69">
      <t>シタ</t>
    </rPh>
    <rPh sb="70" eb="72">
      <t>チュウイ</t>
    </rPh>
    <rPh sb="72" eb="74">
      <t>ジコウ</t>
    </rPh>
    <rPh sb="75" eb="77">
      <t>サンショウ</t>
    </rPh>
    <phoneticPr fontId="1"/>
  </si>
  <si>
    <t>加入しない(65歳以上)</t>
    <rPh sb="0" eb="2">
      <t>カニュウ</t>
    </rPh>
    <rPh sb="8" eb="11">
      <t>サイイジョウ</t>
    </rPh>
    <phoneticPr fontId="28"/>
  </si>
  <si>
    <t>※②～④は、世帯主が国民健康保険に加入されない場合でも、世帯主の収入額等を入力してください（国民健康保険に加入されない世帯員の方は入力不要です。）。</t>
    <rPh sb="6" eb="9">
      <t>セタイヌシ</t>
    </rPh>
    <rPh sb="10" eb="16">
      <t>コクミンケンコウホケン</t>
    </rPh>
    <rPh sb="17" eb="19">
      <t>カニュウ</t>
    </rPh>
    <rPh sb="23" eb="25">
      <t>バアイ</t>
    </rPh>
    <rPh sb="28" eb="31">
      <t>セタイヌシ</t>
    </rPh>
    <rPh sb="32" eb="34">
      <t>シュウニュウ</t>
    </rPh>
    <rPh sb="34" eb="35">
      <t>ガク</t>
    </rPh>
    <rPh sb="35" eb="36">
      <t>トウ</t>
    </rPh>
    <rPh sb="37" eb="39">
      <t>ニュウリョク</t>
    </rPh>
    <rPh sb="46" eb="48">
      <t>コクミン</t>
    </rPh>
    <rPh sb="48" eb="50">
      <t>ケンコウ</t>
    </rPh>
    <rPh sb="50" eb="52">
      <t>ホケン</t>
    </rPh>
    <rPh sb="53" eb="55">
      <t>カニュウ</t>
    </rPh>
    <rPh sb="59" eb="62">
      <t>セタイイン</t>
    </rPh>
    <rPh sb="63" eb="64">
      <t>カタ</t>
    </rPh>
    <rPh sb="65" eb="67">
      <t>ニュウリョク</t>
    </rPh>
    <rPh sb="67" eb="69">
      <t>フヨウ</t>
    </rPh>
    <phoneticPr fontId="28"/>
  </si>
  <si>
    <t>自動</t>
  </si>
  <si>
    <t>未就学児</t>
    <rPh sb="0" eb="4">
      <t>ミシュウガクジ</t>
    </rPh>
    <phoneticPr fontId="28"/>
  </si>
  <si>
    <t>医療分</t>
    <rPh sb="0" eb="3">
      <t>イリョウブン</t>
    </rPh>
    <phoneticPr fontId="28"/>
  </si>
  <si>
    <t>支援分</t>
    <rPh sb="0" eb="3">
      <t>シエンブン</t>
    </rPh>
    <phoneticPr fontId="28"/>
  </si>
  <si>
    <t>採用_医療分</t>
    <rPh sb="0" eb="2">
      <t>サイヨウ</t>
    </rPh>
    <rPh sb="3" eb="6">
      <t>イリョウブン</t>
    </rPh>
    <phoneticPr fontId="28"/>
  </si>
  <si>
    <t>採用_支援分</t>
    <rPh sb="0" eb="2">
      <t>サイヨウ</t>
    </rPh>
    <rPh sb="3" eb="5">
      <t>シエン</t>
    </rPh>
    <rPh sb="5" eb="6">
      <t>ブン</t>
    </rPh>
    <phoneticPr fontId="28"/>
  </si>
  <si>
    <t>減額_医療分</t>
    <rPh sb="0" eb="2">
      <t>ゲンガク</t>
    </rPh>
    <rPh sb="3" eb="6">
      <t>イリョウブン</t>
    </rPh>
    <phoneticPr fontId="28"/>
  </si>
  <si>
    <t>減額_支援分</t>
    <rPh sb="0" eb="2">
      <t>ゲンガク</t>
    </rPh>
    <rPh sb="3" eb="6">
      <t>シエンブン</t>
    </rPh>
    <phoneticPr fontId="28"/>
  </si>
  <si>
    <t>区分2</t>
    <rPh sb="0" eb="2">
      <t>クブン</t>
    </rPh>
    <phoneticPr fontId="28"/>
  </si>
  <si>
    <t>※減額する額を計算</t>
    <rPh sb="1" eb="3">
      <t>ゲンガク</t>
    </rPh>
    <rPh sb="5" eb="6">
      <t>ガク</t>
    </rPh>
    <rPh sb="7" eb="9">
      <t>ケイサン</t>
    </rPh>
    <phoneticPr fontId="28"/>
  </si>
  <si>
    <t>なし</t>
  </si>
  <si>
    <t>＋｛３０万５千円×（被保険者数+特定同一世帯所属者数）｝</t>
    <rPh sb="6" eb="7">
      <t>セン</t>
    </rPh>
    <phoneticPr fontId="28"/>
  </si>
  <si>
    <t>＋｛５６万円×（被保険者数+特定同一世帯所属者数）｝</t>
    <phoneticPr fontId="28"/>
  </si>
  <si>
    <t>令和7年度　広島市　国民健康保険料の簡易試算シート</t>
    <rPh sb="0" eb="1">
      <t>レイ</t>
    </rPh>
    <rPh sb="1" eb="2">
      <t>ワ</t>
    </rPh>
    <phoneticPr fontId="2"/>
  </si>
  <si>
    <t>令和７年度　広島市　国民健康保険料の簡易試算シート　の使い方</t>
    <rPh sb="27" eb="28">
      <t>ツカ</t>
    </rPh>
    <rPh sb="29" eb="30">
      <t>カタ</t>
    </rPh>
    <phoneticPr fontId="28"/>
  </si>
  <si>
    <t>　令和6年1月から12月までの給与収入額（総支給額）を入力してください。給与所得の源泉徴収票をお持ちの方は、「支払金額」の欄の数字を入力してください（参考１）。</t>
    <rPh sb="1" eb="3">
      <t>レイワ</t>
    </rPh>
    <rPh sb="4" eb="5">
      <t>ネン</t>
    </rPh>
    <rPh sb="6" eb="7">
      <t>ガツ</t>
    </rPh>
    <rPh sb="11" eb="12">
      <t>ガツ</t>
    </rPh>
    <rPh sb="15" eb="17">
      <t>キュウヨ</t>
    </rPh>
    <rPh sb="17" eb="19">
      <t>シュウニュウ</t>
    </rPh>
    <rPh sb="19" eb="20">
      <t>ガク</t>
    </rPh>
    <rPh sb="21" eb="22">
      <t>ソウ</t>
    </rPh>
    <rPh sb="22" eb="25">
      <t>シキュウガク</t>
    </rPh>
    <rPh sb="27" eb="29">
      <t>ニュウリョク</t>
    </rPh>
    <rPh sb="36" eb="38">
      <t>キュウヨ</t>
    </rPh>
    <rPh sb="38" eb="40">
      <t>ショトク</t>
    </rPh>
    <rPh sb="41" eb="43">
      <t>ゲンセン</t>
    </rPh>
    <rPh sb="43" eb="46">
      <t>チョウシュウヒョウ</t>
    </rPh>
    <rPh sb="48" eb="49">
      <t>モ</t>
    </rPh>
    <rPh sb="51" eb="52">
      <t>カタ</t>
    </rPh>
    <rPh sb="55" eb="57">
      <t>シハライ</t>
    </rPh>
    <rPh sb="57" eb="59">
      <t>キンガク</t>
    </rPh>
    <rPh sb="61" eb="62">
      <t>ラン</t>
    </rPh>
    <rPh sb="63" eb="65">
      <t>スウジ</t>
    </rPh>
    <rPh sb="66" eb="68">
      <t>ニュウリョク</t>
    </rPh>
    <rPh sb="75" eb="77">
      <t>サンコウ</t>
    </rPh>
    <phoneticPr fontId="28"/>
  </si>
  <si>
    <t>　令和6年1月から12月までの公的年金収入額（年間支給額。障害年金や遺族年金を除きます。）を入力してください。公的年金等の源泉徴収票をお持ちの方は、「支払金額」の数字を入力してください（参考２）。</t>
    <rPh sb="1" eb="3">
      <t>レイワ</t>
    </rPh>
    <rPh sb="4" eb="5">
      <t>ネン</t>
    </rPh>
    <rPh sb="6" eb="7">
      <t>ガツ</t>
    </rPh>
    <rPh sb="11" eb="12">
      <t>ガツ</t>
    </rPh>
    <rPh sb="15" eb="17">
      <t>コウテキ</t>
    </rPh>
    <rPh sb="17" eb="19">
      <t>ネンキン</t>
    </rPh>
    <rPh sb="19" eb="21">
      <t>シュウニュウ</t>
    </rPh>
    <rPh sb="21" eb="22">
      <t>ガク</t>
    </rPh>
    <rPh sb="23" eb="25">
      <t>ネンカン</t>
    </rPh>
    <rPh sb="25" eb="27">
      <t>シキュウ</t>
    </rPh>
    <rPh sb="27" eb="28">
      <t>ガク</t>
    </rPh>
    <rPh sb="29" eb="31">
      <t>ショウガイ</t>
    </rPh>
    <rPh sb="31" eb="33">
      <t>ネンキン</t>
    </rPh>
    <rPh sb="34" eb="36">
      <t>イゾク</t>
    </rPh>
    <rPh sb="36" eb="38">
      <t>ネンキン</t>
    </rPh>
    <rPh sb="39" eb="40">
      <t>ノゾ</t>
    </rPh>
    <rPh sb="46" eb="48">
      <t>ニュウリョク</t>
    </rPh>
    <rPh sb="55" eb="57">
      <t>コウテキ</t>
    </rPh>
    <rPh sb="57" eb="59">
      <t>ネンキン</t>
    </rPh>
    <rPh sb="59" eb="60">
      <t>トウ</t>
    </rPh>
    <rPh sb="61" eb="63">
      <t>ゲンセン</t>
    </rPh>
    <rPh sb="63" eb="66">
      <t>チョウシュウヒョウ</t>
    </rPh>
    <rPh sb="68" eb="69">
      <t>モ</t>
    </rPh>
    <rPh sb="71" eb="72">
      <t>カタ</t>
    </rPh>
    <rPh sb="75" eb="77">
      <t>シハライ</t>
    </rPh>
    <rPh sb="77" eb="79">
      <t>キンガク</t>
    </rPh>
    <rPh sb="81" eb="83">
      <t>スウジ</t>
    </rPh>
    <rPh sb="84" eb="86">
      <t>ニュウリョク</t>
    </rPh>
    <rPh sb="93" eb="95">
      <t>サンコウ</t>
    </rPh>
    <phoneticPr fontId="28"/>
  </si>
  <si>
    <t>　令和6年1月から12月までの給与・公的年金以外の所得（営業・不動産所得などで必要経費を差し引いた金額）の合計額を入力してください。
　なお、退職所得は、保険料の算定対象に含まれません。</t>
    <rPh sb="1" eb="3">
      <t>レイワ</t>
    </rPh>
    <rPh sb="4" eb="5">
      <t>ネン</t>
    </rPh>
    <rPh sb="6" eb="7">
      <t>ガツ</t>
    </rPh>
    <rPh sb="11" eb="12">
      <t>ガツ</t>
    </rPh>
    <rPh sb="15" eb="17">
      <t>キュウヨ</t>
    </rPh>
    <rPh sb="18" eb="20">
      <t>コウテキ</t>
    </rPh>
    <rPh sb="20" eb="22">
      <t>ネンキン</t>
    </rPh>
    <rPh sb="22" eb="24">
      <t>イガイ</t>
    </rPh>
    <rPh sb="25" eb="27">
      <t>ショトク</t>
    </rPh>
    <rPh sb="28" eb="30">
      <t>エイギョウ</t>
    </rPh>
    <rPh sb="31" eb="34">
      <t>フドウサン</t>
    </rPh>
    <rPh sb="34" eb="36">
      <t>ショトク</t>
    </rPh>
    <rPh sb="39" eb="41">
      <t>ヒツヨウ</t>
    </rPh>
    <rPh sb="41" eb="43">
      <t>ケイヒ</t>
    </rPh>
    <rPh sb="44" eb="45">
      <t>サ</t>
    </rPh>
    <rPh sb="46" eb="47">
      <t>ヒ</t>
    </rPh>
    <rPh sb="49" eb="51">
      <t>キンガク</t>
    </rPh>
    <rPh sb="53" eb="55">
      <t>ゴウケイ</t>
    </rPh>
    <rPh sb="55" eb="56">
      <t>ガク</t>
    </rPh>
    <rPh sb="57" eb="59">
      <t>ニュウリョク</t>
    </rPh>
    <rPh sb="71" eb="73">
      <t>タイショク</t>
    </rPh>
    <rPh sb="73" eb="75">
      <t>ショトク</t>
    </rPh>
    <rPh sb="77" eb="80">
      <t>ホケンリョウ</t>
    </rPh>
    <rPh sb="81" eb="83">
      <t>サンテイ</t>
    </rPh>
    <rPh sb="83" eb="85">
      <t>タイショウ</t>
    </rPh>
    <rPh sb="86" eb="87">
      <t>フク</t>
    </rPh>
    <phoneticPr fontId="28"/>
  </si>
  <si>
    <t>【令和７年度料率】</t>
    <rPh sb="1" eb="2">
      <t>レイ</t>
    </rPh>
    <rPh sb="2" eb="3">
      <t>ワ</t>
    </rPh>
    <rPh sb="4" eb="6">
      <t>ネンド</t>
    </rPh>
    <rPh sb="6" eb="8">
      <t>リョウリツ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</si>
</sst>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76" formatCode="#,##0\ &quot;円&quot;"/>
    <numFmt numFmtId="177" formatCode="#,##0&quot; &quot;"/>
    <numFmt numFmtId="178" formatCode="0.00_ "/>
    <numFmt numFmtId="179" formatCode="0\ &quot;人&quot;"/>
    <numFmt numFmtId="180" formatCode="&quot;A　&quot;#,###&quot; 円&quot;"/>
    <numFmt numFmtId="181" formatCode="&quot;B　&quot;#,###&quot; 円&quot;"/>
    <numFmt numFmtId="182" formatCode="0&quot;人&quot;"/>
    <numFmt numFmtId="183" formatCode="&quot;C　&quot;#,###&quot; 円&quot;"/>
    <numFmt numFmtId="184" formatCode="&quot;C　&quot;#,###&quot; 円&quot;;&quot;C　&quot;\-#,###&quot;円&quot;"/>
    <numFmt numFmtId="185" formatCode="#,##0_ ;[Red]\-#,##0\ "/>
    <numFmt numFmtId="186" formatCode="#,##0&quot; &quot;;[Red]\-#,##0&quot; &quot;"/>
    <numFmt numFmtId="187" formatCode="[$-411]ggge\.m\.d"/>
    <numFmt numFmtId="188" formatCode="gyy/m/d;@"/>
    <numFmt numFmtId="189" formatCode="[$-411]ge\.m\.d&quot; 生&quot;"/>
    <numFmt numFmtId="190" formatCode="#,##0_);[Red]\(#,##0\)"/>
    <numFmt numFmtId="191" formatCode="0_ &quot;人&quot;"/>
    <numFmt numFmtId="192" formatCode="0.0000_ "/>
  </numFmts>
  <fonts count="58">
    <font>
      <sz val="11"/>
      <color theme="1"/>
      <name val="ＭＳ Ｐゴシック"/>
      <family val="3"/>
      <charset val="128"/>
      <scheme val="minor"/>
    </font>
    <font>
      <b/>
      <sz val="18"/>
      <color indexed="56"/>
      <name val="ＭＳ Ｐゴシック"/>
      <family val="3"/>
      <charset val="128"/>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2"/>
      <color theme="1"/>
      <name val="ＭＳ Ｐゴシック"/>
      <family val="3"/>
      <charset val="128"/>
      <scheme val="minor"/>
    </font>
    <font>
      <sz val="12"/>
      <color theme="1"/>
      <name val="ＭＳ Ｐゴシック"/>
      <family val="3"/>
      <charset val="128"/>
    </font>
    <font>
      <b/>
      <sz val="12"/>
      <color theme="1"/>
      <name val="ＭＳ Ｐゴシック"/>
      <family val="3"/>
      <charset val="128"/>
      <scheme val="minor"/>
    </font>
    <font>
      <sz val="8"/>
      <color theme="1"/>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b/>
      <sz val="10"/>
      <color rgb="FFFF0000"/>
      <name val="ＭＳ Ｐゴシック"/>
      <family val="3"/>
      <charset val="128"/>
      <scheme val="minor"/>
    </font>
    <font>
      <sz val="7"/>
      <color theme="1"/>
      <name val="ＭＳ Ｐゴシック"/>
      <family val="3"/>
      <charset val="128"/>
      <scheme val="minor"/>
    </font>
    <font>
      <sz val="10"/>
      <color theme="1"/>
      <name val="ＭＳ Ｐ明朝"/>
      <family val="1"/>
      <charset val="128"/>
    </font>
    <font>
      <sz val="10"/>
      <color theme="1"/>
      <name val="ＭＳ 明朝"/>
      <family val="1"/>
      <charset val="128"/>
    </font>
    <font>
      <sz val="8"/>
      <color theme="1"/>
      <name val="ＭＳ 明朝"/>
      <family val="1"/>
      <charset val="128"/>
    </font>
    <font>
      <sz val="8"/>
      <color theme="1"/>
      <name val="ＭＳ Ｐ明朝"/>
      <family val="1"/>
      <charset val="128"/>
    </font>
    <font>
      <b/>
      <sz val="14"/>
      <name val="ＭＳ Ｐゴシック"/>
      <family val="3"/>
      <charset val="128"/>
    </font>
    <font>
      <sz val="10"/>
      <name val="ＭＳ Ｐゴシック"/>
      <family val="3"/>
      <charset val="128"/>
    </font>
    <font>
      <sz val="10"/>
      <name val="ＭＳ 明朝"/>
      <family val="1"/>
      <charset val="128"/>
    </font>
    <font>
      <b/>
      <sz val="11"/>
      <color rgb="FFFF0000"/>
      <name val="ＭＳ Ｐゴシック"/>
      <family val="3"/>
      <charset val="128"/>
      <scheme val="minor"/>
    </font>
    <font>
      <sz val="11"/>
      <color theme="1"/>
      <name val="ＭＳ 明朝"/>
      <family val="1"/>
      <charset val="128"/>
    </font>
    <font>
      <sz val="9"/>
      <color theme="1"/>
      <name val="ＭＳ 明朝"/>
      <family val="1"/>
      <charset val="128"/>
    </font>
    <font>
      <b/>
      <sz val="11"/>
      <name val="ＭＳ Ｐゴシック"/>
      <family val="3"/>
      <charset val="128"/>
    </font>
    <font>
      <b/>
      <sz val="12"/>
      <color rgb="FFFF0000"/>
      <name val="ＭＳ Ｐゴシック"/>
      <family val="3"/>
      <charset val="128"/>
      <scheme val="minor"/>
    </font>
    <font>
      <sz val="10"/>
      <color rgb="FFFF0000"/>
      <name val="ＭＳ Ｐゴシック"/>
      <family val="3"/>
      <charset val="128"/>
      <scheme val="minor"/>
    </font>
    <font>
      <sz val="9.5"/>
      <color theme="1"/>
      <name val="ＭＳ Ｐ明朝"/>
      <family val="1"/>
      <charset val="128"/>
    </font>
    <font>
      <sz val="6"/>
      <name val="ＭＳ Ｐゴシック"/>
      <family val="3"/>
      <charset val="128"/>
      <scheme val="minor"/>
    </font>
    <font>
      <sz val="6"/>
      <color theme="1"/>
      <name val="ＭＳ Ｐゴシック"/>
      <family val="3"/>
      <charset val="128"/>
      <scheme val="minor"/>
    </font>
    <font>
      <sz val="7"/>
      <color theme="1"/>
      <name val="ＭＳ 明朝"/>
      <family val="1"/>
      <charset val="128"/>
    </font>
    <font>
      <sz val="11"/>
      <color rgb="FFFF0000"/>
      <name val="ＭＳ Ｐゴシック"/>
      <family val="3"/>
      <charset val="128"/>
      <scheme val="minor"/>
    </font>
    <font>
      <b/>
      <sz val="9"/>
      <color indexed="81"/>
      <name val="ＭＳ Ｐゴシック"/>
      <family val="3"/>
      <charset val="128"/>
    </font>
    <font>
      <sz val="8"/>
      <color rgb="FFFF0000"/>
      <name val="ＭＳ Ｐゴシック"/>
      <family val="3"/>
      <charset val="128"/>
      <scheme val="minor"/>
    </font>
    <font>
      <b/>
      <sz val="18"/>
      <color theme="3"/>
      <name val="ＭＳ Ｐゴシック"/>
      <family val="2"/>
      <charset val="128"/>
      <scheme val="major"/>
    </font>
    <font>
      <sz val="6"/>
      <name val="ＭＳ Ｐゴシック"/>
      <family val="2"/>
      <charset val="128"/>
      <scheme val="minor"/>
    </font>
    <font>
      <b/>
      <sz val="8"/>
      <color indexed="81"/>
      <name val="ＭＳ Ｐゴシック"/>
      <family val="3"/>
      <charset val="128"/>
    </font>
    <font>
      <sz val="10"/>
      <name val="ＭＳ Ｐゴシック"/>
      <family val="3"/>
      <charset val="128"/>
      <scheme val="minor"/>
    </font>
    <font>
      <b/>
      <sz val="10"/>
      <name val="ＭＳ Ｐゴシック"/>
      <family val="3"/>
      <charset val="128"/>
    </font>
    <font>
      <sz val="9"/>
      <name val="ＭＳ Ｐゴシック"/>
      <family val="3"/>
      <charset val="128"/>
    </font>
    <font>
      <sz val="11"/>
      <name val="ＭＳ Ｐゴシック"/>
      <family val="3"/>
      <charset val="128"/>
    </font>
    <font>
      <sz val="9"/>
      <name val="ＭＳ Ｐゴシック"/>
      <family val="3"/>
      <charset val="128"/>
      <scheme val="minor"/>
    </font>
    <font>
      <b/>
      <sz val="8"/>
      <color rgb="FFFF0000"/>
      <name val="ＭＳ Ｐゴシック"/>
      <family val="3"/>
      <charset val="128"/>
      <scheme val="minor"/>
    </font>
    <font>
      <b/>
      <sz val="9"/>
      <color indexed="81"/>
      <name val="MS P ゴシック"/>
      <family val="3"/>
      <charset val="128"/>
    </font>
    <font>
      <b/>
      <sz val="11"/>
      <color rgb="FF0070C0"/>
      <name val="ＭＳ Ｐゴシック"/>
      <family val="3"/>
      <charset val="128"/>
      <scheme val="minor"/>
    </font>
    <font>
      <b/>
      <sz val="10"/>
      <color rgb="FF0070C0"/>
      <name val="ＭＳ Ｐゴシック"/>
      <family val="3"/>
      <charset val="128"/>
      <scheme val="minor"/>
    </font>
    <font>
      <b/>
      <sz val="11"/>
      <color rgb="FF00B050"/>
      <name val="ＭＳ Ｐゴシック"/>
      <family val="3"/>
      <charset val="128"/>
      <scheme val="minor"/>
    </font>
    <font>
      <b/>
      <sz val="9"/>
      <name val="ＭＳ Ｐゴシック"/>
      <family val="3"/>
      <charset val="128"/>
    </font>
    <font>
      <b/>
      <sz val="9"/>
      <color rgb="FFFF0000"/>
      <name val="ＭＳ Ｐゴシック"/>
      <family val="3"/>
      <charset val="128"/>
    </font>
    <font>
      <b/>
      <sz val="14"/>
      <color rgb="FFFF0000"/>
      <name val="ＭＳ Ｐゴシック"/>
      <family val="3"/>
      <charset val="128"/>
      <scheme val="minor"/>
    </font>
    <font>
      <b/>
      <u/>
      <sz val="11"/>
      <color rgb="FFFF0000"/>
      <name val="ＭＳ Ｐゴシック"/>
      <family val="3"/>
      <charset val="128"/>
      <scheme val="minor"/>
    </font>
    <font>
      <b/>
      <sz val="15"/>
      <color theme="0"/>
      <name val="ＭＳ Ｐゴシック"/>
      <family val="3"/>
      <charset val="128"/>
      <scheme val="minor"/>
    </font>
    <font>
      <b/>
      <sz val="14"/>
      <color theme="1"/>
      <name val="ＭＳ Ｐゴシック"/>
      <family val="3"/>
      <charset val="128"/>
      <scheme val="minor"/>
    </font>
    <font>
      <sz val="11"/>
      <color rgb="FF000000"/>
      <name val="ＭＳ Ｐゴシック"/>
      <family val="3"/>
      <charset val="128"/>
    </font>
    <font>
      <u/>
      <sz val="11"/>
      <color theme="10"/>
      <name val="ＭＳ Ｐゴシック"/>
      <family val="3"/>
      <charset val="128"/>
      <scheme val="minor"/>
    </font>
    <font>
      <b/>
      <sz val="9"/>
      <color rgb="FF0894EA"/>
      <name val="ＭＳ Ｐゴシック"/>
      <family val="3"/>
      <charset val="128"/>
    </font>
    <font>
      <u val="double"/>
      <sz val="11"/>
      <color rgb="FFFF0000"/>
      <name val="ＭＳ Ｐゴシック"/>
      <family val="3"/>
      <charset val="128"/>
      <scheme val="minor"/>
    </font>
    <font>
      <u val="double"/>
      <sz val="11"/>
      <color rgb="FF0894EA"/>
      <name val="ＭＳ Ｐゴシック"/>
      <family val="3"/>
      <charset val="128"/>
      <scheme val="minor"/>
    </font>
  </fonts>
  <fills count="21">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indexed="43"/>
        <bgColor indexed="64"/>
      </patternFill>
    </fill>
    <fill>
      <patternFill patternType="solid">
        <fgColor rgb="FFFFFF99"/>
        <bgColor indexed="64"/>
      </patternFill>
    </fill>
    <fill>
      <patternFill patternType="solid">
        <fgColor rgb="FFFFFFC1"/>
        <bgColor indexed="64"/>
      </patternFill>
    </fill>
    <fill>
      <patternFill patternType="solid">
        <fgColor rgb="FF9BFFFF"/>
        <bgColor indexed="64"/>
      </patternFill>
    </fill>
    <fill>
      <patternFill patternType="solid">
        <fgColor rgb="FFFFC5FF"/>
        <bgColor indexed="64"/>
      </patternFill>
    </fill>
    <fill>
      <patternFill patternType="solid">
        <fgColor theme="9" tint="-0.249977111117893"/>
        <bgColor indexed="64"/>
      </patternFill>
    </fill>
    <fill>
      <patternFill patternType="solid">
        <fgColor rgb="FFFEF2E8"/>
        <bgColor indexed="64"/>
      </patternFill>
    </fill>
    <fill>
      <patternFill patternType="solid">
        <fgColor theme="3" tint="0.79998168889431442"/>
        <bgColor indexed="64"/>
      </patternFill>
    </fill>
    <fill>
      <patternFill patternType="solid">
        <fgColor rgb="FFFFD44B"/>
        <bgColor indexed="64"/>
      </patternFill>
    </fill>
    <fill>
      <patternFill patternType="solid">
        <fgColor rgb="FFFFD85D"/>
        <bgColor indexed="64"/>
      </patternFill>
    </fill>
    <fill>
      <patternFill patternType="solid">
        <fgColor theme="0" tint="-0.34998626667073579"/>
        <bgColor indexed="64"/>
      </patternFill>
    </fill>
    <fill>
      <patternFill patternType="solid">
        <fgColor rgb="FFFFC000"/>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style="thin">
        <color indexed="64"/>
      </right>
      <top style="thin">
        <color indexed="64"/>
      </top>
      <bottom style="thin">
        <color indexed="64"/>
      </bottom>
      <diagonal/>
    </border>
    <border>
      <left/>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thin">
        <color indexed="64"/>
      </left>
      <right style="thin">
        <color indexed="64"/>
      </right>
      <top style="thin">
        <color indexed="64"/>
      </top>
      <bottom style="medium">
        <color rgb="FFFF0000"/>
      </bottom>
      <diagonal/>
    </border>
    <border>
      <left style="medium">
        <color rgb="FFFF0000"/>
      </left>
      <right/>
      <top/>
      <bottom/>
      <diagonal/>
    </border>
    <border>
      <left/>
      <right/>
      <top style="thick">
        <color theme="9"/>
      </top>
      <bottom style="thick">
        <color theme="9"/>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rgb="FFFF0000"/>
      </left>
      <right style="medium">
        <color rgb="FFFF0000"/>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medium">
        <color rgb="FFFF0000"/>
      </left>
      <right style="medium">
        <color rgb="FFFF0000"/>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medium">
        <color rgb="FFFF0000"/>
      </left>
      <right style="medium">
        <color rgb="FFFF0000"/>
      </right>
      <top style="hair">
        <color indexed="64"/>
      </top>
      <bottom style="thin">
        <color indexed="64"/>
      </bottom>
      <diagonal/>
    </border>
    <border>
      <left style="thick">
        <color rgb="FFFF0000"/>
      </left>
      <right/>
      <top style="thin">
        <color auto="1"/>
      </top>
      <bottom/>
      <diagonal/>
    </border>
    <border>
      <left style="thick">
        <color rgb="FFFF0000"/>
      </left>
      <right/>
      <top/>
      <bottom style="thin">
        <color auto="1"/>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right style="double">
        <color auto="1"/>
      </right>
      <top/>
      <bottom/>
      <diagonal/>
    </border>
    <border>
      <left style="double">
        <color auto="1"/>
      </left>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rgb="FFFF0000"/>
      </left>
      <right style="medium">
        <color rgb="FFFF0000"/>
      </right>
      <top style="hair">
        <color indexed="64"/>
      </top>
      <bottom style="medium">
        <color rgb="FFFF0000"/>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medium">
        <color rgb="FFFF0000"/>
      </left>
      <right/>
      <top style="medium">
        <color rgb="FFFF0000"/>
      </top>
      <bottom style="thin">
        <color indexed="64"/>
      </bottom>
      <diagonal/>
    </border>
    <border>
      <left style="medium">
        <color rgb="FFFF0000"/>
      </left>
      <right/>
      <top style="thin">
        <color indexed="64"/>
      </top>
      <bottom style="hair">
        <color indexed="64"/>
      </bottom>
      <diagonal/>
    </border>
    <border>
      <left style="medium">
        <color rgb="FFFF0000"/>
      </left>
      <right/>
      <top style="hair">
        <color indexed="64"/>
      </top>
      <bottom style="hair">
        <color indexed="64"/>
      </bottom>
      <diagonal/>
    </border>
    <border>
      <left style="medium">
        <color rgb="FFFF0000"/>
      </left>
      <right/>
      <top style="hair">
        <color indexed="64"/>
      </top>
      <bottom style="thin">
        <color indexed="64"/>
      </bottom>
      <diagonal/>
    </border>
    <border>
      <left style="medium">
        <color rgb="FFFF0000"/>
      </left>
      <right/>
      <top style="thin">
        <color indexed="64"/>
      </top>
      <bottom style="medium">
        <color rgb="FFFF0000"/>
      </bottom>
      <diagonal/>
    </border>
    <border>
      <left style="thin">
        <color indexed="64"/>
      </left>
      <right style="medium">
        <color rgb="FFFF0000"/>
      </right>
      <top style="thin">
        <color indexed="64"/>
      </top>
      <bottom style="hair">
        <color indexed="64"/>
      </bottom>
      <diagonal/>
    </border>
    <border>
      <left style="thin">
        <color indexed="64"/>
      </left>
      <right style="medium">
        <color rgb="FFFF0000"/>
      </right>
      <top style="hair">
        <color indexed="64"/>
      </top>
      <bottom style="hair">
        <color indexed="64"/>
      </bottom>
      <diagonal/>
    </border>
    <border>
      <left style="thin">
        <color indexed="64"/>
      </left>
      <right style="medium">
        <color rgb="FFFF0000"/>
      </right>
      <top style="hair">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theme="1"/>
      </top>
      <bottom style="thin">
        <color theme="1"/>
      </bottom>
      <diagonal/>
    </border>
    <border>
      <left/>
      <right/>
      <top style="thin">
        <color theme="1"/>
      </top>
      <bottom style="thin">
        <color theme="1"/>
      </bottom>
      <diagonal/>
    </border>
    <border>
      <left/>
      <right style="thin">
        <color indexed="64"/>
      </right>
      <top style="hair">
        <color indexed="64"/>
      </top>
      <bottom style="thin">
        <color theme="1"/>
      </bottom>
      <diagonal/>
    </border>
    <border>
      <left/>
      <right/>
      <top style="hair">
        <color indexed="64"/>
      </top>
      <bottom style="thin">
        <color theme="1"/>
      </bottom>
      <diagonal/>
    </border>
    <border>
      <left/>
      <right style="thin">
        <color theme="1"/>
      </right>
      <top style="thin">
        <color theme="1"/>
      </top>
      <bottom style="thin">
        <color indexed="64"/>
      </bottom>
      <diagonal/>
    </border>
    <border>
      <left/>
      <right style="thin">
        <color indexed="64"/>
      </right>
      <top/>
      <bottom style="hair">
        <color indexed="64"/>
      </bottom>
      <diagonal/>
    </border>
    <border>
      <left/>
      <right/>
      <top/>
      <bottom style="hair">
        <color indexed="64"/>
      </bottom>
      <diagonal/>
    </border>
  </borders>
  <cellStyleXfs count="3">
    <xf numFmtId="0" fontId="0" fillId="0" borderId="0">
      <alignment vertical="center"/>
    </xf>
    <xf numFmtId="38" fontId="3" fillId="0" borderId="0" applyFont="0" applyFill="0" applyBorder="0" applyAlignment="0" applyProtection="0">
      <alignment vertical="center"/>
    </xf>
    <xf numFmtId="0" fontId="54" fillId="0" borderId="0" applyNumberFormat="0" applyFill="0" applyBorder="0" applyAlignment="0" applyProtection="0">
      <alignment vertical="center"/>
    </xf>
  </cellStyleXfs>
  <cellXfs count="480">
    <xf numFmtId="0" fontId="0" fillId="0" borderId="0" xfId="0">
      <alignment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 xfId="0" applyFill="1" applyBorder="1">
      <alignment vertical="center"/>
    </xf>
    <xf numFmtId="0" fontId="0" fillId="5" borderId="1" xfId="0" applyFill="1" applyBorder="1" applyAlignment="1">
      <alignment horizontal="center" vertical="center"/>
    </xf>
    <xf numFmtId="0" fontId="0" fillId="5" borderId="1" xfId="0" applyFill="1" applyBorder="1">
      <alignment vertical="center"/>
    </xf>
    <xf numFmtId="38" fontId="0" fillId="5" borderId="1" xfId="0" applyNumberFormat="1" applyFill="1" applyBorder="1">
      <alignment vertical="center"/>
    </xf>
    <xf numFmtId="0" fontId="5" fillId="3" borderId="1" xfId="0" applyFont="1" applyFill="1" applyBorder="1" applyAlignment="1">
      <alignment horizontal="center" vertical="center" shrinkToFit="1"/>
    </xf>
    <xf numFmtId="0" fontId="0" fillId="6" borderId="0" xfId="0" applyFill="1" applyBorder="1">
      <alignment vertical="center"/>
    </xf>
    <xf numFmtId="38" fontId="0" fillId="5" borderId="1" xfId="1" applyFont="1" applyFill="1" applyBorder="1" applyAlignment="1">
      <alignment vertical="center" shrinkToFit="1"/>
    </xf>
    <xf numFmtId="38" fontId="0" fillId="5" borderId="1" xfId="0" applyNumberFormat="1" applyFill="1" applyBorder="1" applyAlignment="1">
      <alignment vertical="center" shrinkToFit="1"/>
    </xf>
    <xf numFmtId="0" fontId="0" fillId="3" borderId="1" xfId="0" applyFill="1" applyBorder="1" applyAlignment="1">
      <alignment vertical="center" shrinkToFit="1"/>
    </xf>
    <xf numFmtId="0" fontId="0" fillId="6" borderId="0" xfId="0" applyFill="1">
      <alignment vertical="center"/>
    </xf>
    <xf numFmtId="0" fontId="0" fillId="5" borderId="5" xfId="0" applyFill="1" applyBorder="1" applyAlignment="1">
      <alignment horizontal="center" vertical="center"/>
    </xf>
    <xf numFmtId="38" fontId="0" fillId="5" borderId="5" xfId="1" applyFont="1" applyFill="1" applyBorder="1" applyAlignment="1">
      <alignment vertical="center" shrinkToFit="1"/>
    </xf>
    <xf numFmtId="0" fontId="0" fillId="5" borderId="23" xfId="0" applyFill="1" applyBorder="1">
      <alignment vertical="center"/>
    </xf>
    <xf numFmtId="0" fontId="0" fillId="5" borderId="29" xfId="0" applyFill="1" applyBorder="1">
      <alignment vertical="center"/>
    </xf>
    <xf numFmtId="0" fontId="0" fillId="6" borderId="1" xfId="0" applyFill="1" applyBorder="1">
      <alignment vertical="center"/>
    </xf>
    <xf numFmtId="0" fontId="0" fillId="3" borderId="1" xfId="0" applyFill="1" applyBorder="1" applyAlignment="1">
      <alignment horizontal="center" vertical="center" shrinkToFit="1"/>
    </xf>
    <xf numFmtId="0" fontId="0" fillId="6" borderId="0" xfId="0" applyFill="1" applyAlignment="1">
      <alignment horizontal="right" vertical="center"/>
    </xf>
    <xf numFmtId="0" fontId="0" fillId="6" borderId="26" xfId="0" applyFill="1" applyBorder="1">
      <alignment vertical="center"/>
    </xf>
    <xf numFmtId="0" fontId="0" fillId="6" borderId="13" xfId="0" applyFill="1" applyBorder="1">
      <alignment vertical="center"/>
    </xf>
    <xf numFmtId="0" fontId="0" fillId="6" borderId="0" xfId="0" applyFill="1" applyAlignment="1">
      <alignment vertical="center" shrinkToFit="1"/>
    </xf>
    <xf numFmtId="0" fontId="4" fillId="6" borderId="0" xfId="0" applyFont="1" applyFill="1" applyAlignment="1">
      <alignment horizontal="right" vertical="center"/>
    </xf>
    <xf numFmtId="0" fontId="4" fillId="6" borderId="0" xfId="0" quotePrefix="1" applyFont="1" applyFill="1">
      <alignment vertical="center"/>
    </xf>
    <xf numFmtId="38" fontId="4" fillId="6" borderId="0" xfId="1" applyFont="1" applyFill="1">
      <alignment vertical="center"/>
    </xf>
    <xf numFmtId="0" fontId="0" fillId="0" borderId="0" xfId="0" applyProtection="1">
      <alignment vertical="center"/>
    </xf>
    <xf numFmtId="0" fontId="0" fillId="6" borderId="0" xfId="0" applyFill="1" applyProtection="1">
      <alignment vertical="center"/>
    </xf>
    <xf numFmtId="0" fontId="0" fillId="6" borderId="1" xfId="0" applyFill="1" applyBorder="1" applyProtection="1">
      <alignment vertical="center"/>
    </xf>
    <xf numFmtId="0" fontId="0" fillId="6" borderId="0" xfId="0" applyFill="1" applyBorder="1" applyProtection="1">
      <alignment vertical="center"/>
    </xf>
    <xf numFmtId="0" fontId="0" fillId="0" borderId="0" xfId="0" applyBorder="1" applyProtection="1">
      <alignment vertical="center"/>
    </xf>
    <xf numFmtId="0" fontId="0" fillId="5" borderId="1" xfId="0" applyFill="1" applyBorder="1" applyAlignment="1" applyProtection="1">
      <alignment vertical="center" shrinkToFit="1"/>
    </xf>
    <xf numFmtId="38" fontId="0" fillId="5" borderId="1" xfId="1" applyFont="1" applyFill="1" applyBorder="1" applyAlignment="1" applyProtection="1">
      <alignment vertical="center" shrinkToFit="1"/>
    </xf>
    <xf numFmtId="0" fontId="0" fillId="3" borderId="25" xfId="0" applyFill="1" applyBorder="1" applyAlignment="1" applyProtection="1">
      <alignment vertical="center" shrinkToFit="1"/>
    </xf>
    <xf numFmtId="0" fontId="0" fillId="3" borderId="1" xfId="0" applyFill="1" applyBorder="1" applyAlignment="1" applyProtection="1">
      <alignment vertical="center" shrinkToFit="1"/>
    </xf>
    <xf numFmtId="0" fontId="0" fillId="6" borderId="8" xfId="0" applyFill="1" applyBorder="1" applyProtection="1">
      <alignment vertical="center"/>
    </xf>
    <xf numFmtId="0" fontId="0" fillId="0" borderId="0" xfId="0" applyFill="1" applyBorder="1" applyProtection="1">
      <alignment vertical="center"/>
    </xf>
    <xf numFmtId="0" fontId="9" fillId="6" borderId="0" xfId="0" applyFont="1" applyFill="1" applyAlignment="1">
      <alignment horizontal="right" vertical="center"/>
    </xf>
    <xf numFmtId="0" fontId="0" fillId="6" borderId="0" xfId="0" quotePrefix="1" applyFill="1" applyProtection="1">
      <alignment vertical="center"/>
    </xf>
    <xf numFmtId="0" fontId="4" fillId="6" borderId="1" xfId="0" applyFont="1" applyFill="1" applyBorder="1" applyAlignment="1" applyProtection="1">
      <alignment horizontal="right" vertical="center"/>
    </xf>
    <xf numFmtId="0" fontId="9" fillId="6" borderId="8" xfId="0" applyFont="1" applyFill="1" applyBorder="1" applyProtection="1">
      <alignment vertical="center"/>
    </xf>
    <xf numFmtId="0" fontId="21" fillId="6" borderId="0" xfId="0" applyFont="1" applyFill="1">
      <alignment vertical="center"/>
    </xf>
    <xf numFmtId="0" fontId="45" fillId="6" borderId="0" xfId="0" applyFont="1" applyFill="1">
      <alignment vertical="center"/>
    </xf>
    <xf numFmtId="0" fontId="46" fillId="6" borderId="0" xfId="0" applyFont="1" applyFill="1">
      <alignment vertical="center"/>
    </xf>
    <xf numFmtId="0" fontId="0" fillId="5" borderId="36" xfId="0" applyFill="1" applyBorder="1" applyAlignment="1">
      <alignment horizontal="center" vertical="center"/>
    </xf>
    <xf numFmtId="0" fontId="0" fillId="5" borderId="37" xfId="0" applyFill="1" applyBorder="1" applyAlignment="1">
      <alignment horizontal="center" vertical="center"/>
    </xf>
    <xf numFmtId="0" fontId="0" fillId="5" borderId="38" xfId="0" applyFill="1" applyBorder="1" applyAlignment="1">
      <alignment horizontal="center" vertical="center"/>
    </xf>
    <xf numFmtId="0" fontId="0" fillId="5" borderId="36" xfId="0" applyFill="1" applyBorder="1">
      <alignment vertical="center"/>
    </xf>
    <xf numFmtId="38" fontId="0" fillId="5" borderId="36" xfId="1" applyFont="1" applyFill="1" applyBorder="1" applyAlignment="1">
      <alignment vertical="center" shrinkToFit="1"/>
    </xf>
    <xf numFmtId="38" fontId="0" fillId="5" borderId="39" xfId="1" applyFont="1" applyFill="1" applyBorder="1" applyAlignment="1">
      <alignment vertical="center" shrinkToFit="1"/>
    </xf>
    <xf numFmtId="38" fontId="0" fillId="6" borderId="41" xfId="1" applyFont="1" applyFill="1" applyBorder="1">
      <alignment vertical="center"/>
    </xf>
    <xf numFmtId="38" fontId="0" fillId="6" borderId="36" xfId="1" applyFont="1" applyFill="1" applyBorder="1">
      <alignment vertical="center"/>
    </xf>
    <xf numFmtId="0" fontId="0" fillId="5" borderId="37" xfId="0" applyFill="1" applyBorder="1">
      <alignment vertical="center"/>
    </xf>
    <xf numFmtId="38" fontId="0" fillId="5" borderId="37" xfId="1" applyFont="1" applyFill="1" applyBorder="1" applyAlignment="1">
      <alignment vertical="center" shrinkToFit="1"/>
    </xf>
    <xf numFmtId="38" fontId="0" fillId="5" borderId="42" xfId="1" applyFont="1" applyFill="1" applyBorder="1" applyAlignment="1">
      <alignment vertical="center" shrinkToFit="1"/>
    </xf>
    <xf numFmtId="38" fontId="0" fillId="6" borderId="44" xfId="1" applyFont="1" applyFill="1" applyBorder="1">
      <alignment vertical="center"/>
    </xf>
    <xf numFmtId="38" fontId="0" fillId="6" borderId="37" xfId="1" applyFont="1" applyFill="1" applyBorder="1">
      <alignment vertical="center"/>
    </xf>
    <xf numFmtId="0" fontId="0" fillId="5" borderId="38" xfId="0" applyFill="1" applyBorder="1">
      <alignment vertical="center"/>
    </xf>
    <xf numFmtId="38" fontId="0" fillId="5" borderId="38" xfId="1" applyFont="1" applyFill="1" applyBorder="1" applyAlignment="1">
      <alignment vertical="center" shrinkToFit="1"/>
    </xf>
    <xf numFmtId="38" fontId="0" fillId="5" borderId="45" xfId="1" applyFont="1" applyFill="1" applyBorder="1" applyAlignment="1">
      <alignment vertical="center" shrinkToFit="1"/>
    </xf>
    <xf numFmtId="38" fontId="0" fillId="6" borderId="35" xfId="1" applyFont="1" applyFill="1" applyBorder="1">
      <alignment vertical="center"/>
    </xf>
    <xf numFmtId="38" fontId="0" fillId="6" borderId="38" xfId="1" applyFont="1" applyFill="1" applyBorder="1">
      <alignment vertical="center"/>
    </xf>
    <xf numFmtId="38" fontId="0" fillId="5" borderId="36" xfId="1" applyNumberFormat="1" applyFont="1" applyFill="1" applyBorder="1" applyAlignment="1">
      <alignment vertical="center" shrinkToFit="1"/>
    </xf>
    <xf numFmtId="38" fontId="0" fillId="5" borderId="36" xfId="0" applyNumberFormat="1" applyFill="1" applyBorder="1" applyAlignment="1">
      <alignment vertical="center" shrinkToFit="1"/>
    </xf>
    <xf numFmtId="38" fontId="0" fillId="5" borderId="37" xfId="1" applyNumberFormat="1" applyFont="1" applyFill="1" applyBorder="1" applyAlignment="1">
      <alignment vertical="center" shrinkToFit="1"/>
    </xf>
    <xf numFmtId="38" fontId="0" fillId="5" borderId="37" xfId="0" applyNumberFormat="1" applyFill="1" applyBorder="1" applyAlignment="1">
      <alignment vertical="center" shrinkToFit="1"/>
    </xf>
    <xf numFmtId="38" fontId="0" fillId="5" borderId="38" xfId="0" applyNumberFormat="1" applyFill="1" applyBorder="1" applyAlignment="1">
      <alignment vertical="center" shrinkToFit="1"/>
    </xf>
    <xf numFmtId="38" fontId="0" fillId="5" borderId="38" xfId="1" applyNumberFormat="1" applyFont="1" applyFill="1" applyBorder="1" applyAlignment="1">
      <alignment vertical="center" shrinkToFit="1"/>
    </xf>
    <xf numFmtId="38" fontId="0" fillId="5" borderId="36" xfId="0" applyNumberFormat="1" applyFill="1" applyBorder="1">
      <alignment vertical="center"/>
    </xf>
    <xf numFmtId="38" fontId="0" fillId="5" borderId="37" xfId="0" applyNumberFormat="1" applyFill="1" applyBorder="1">
      <alignment vertical="center"/>
    </xf>
    <xf numFmtId="38" fontId="0" fillId="5" borderId="37" xfId="1" applyFont="1" applyFill="1" applyBorder="1">
      <alignment vertical="center"/>
    </xf>
    <xf numFmtId="38" fontId="0" fillId="5" borderId="38" xfId="1" applyFont="1" applyFill="1" applyBorder="1">
      <alignment vertical="center"/>
    </xf>
    <xf numFmtId="38" fontId="0" fillId="5" borderId="41" xfId="1" applyFont="1" applyFill="1" applyBorder="1" applyAlignment="1" applyProtection="1">
      <alignment vertical="center" shrinkToFit="1"/>
    </xf>
    <xf numFmtId="38" fontId="0" fillId="5" borderId="44" xfId="1" applyFont="1" applyFill="1" applyBorder="1" applyAlignment="1" applyProtection="1">
      <alignment vertical="center" shrinkToFit="1"/>
    </xf>
    <xf numFmtId="38" fontId="0" fillId="5" borderId="35" xfId="1" applyFont="1" applyFill="1" applyBorder="1" applyAlignment="1" applyProtection="1">
      <alignment vertical="center" shrinkToFit="1"/>
    </xf>
    <xf numFmtId="38" fontId="0" fillId="5" borderId="36" xfId="1" applyFont="1" applyFill="1" applyBorder="1" applyProtection="1">
      <alignment vertical="center"/>
    </xf>
    <xf numFmtId="38" fontId="0" fillId="5" borderId="37" xfId="1" applyFont="1" applyFill="1" applyBorder="1" applyProtection="1">
      <alignment vertical="center"/>
    </xf>
    <xf numFmtId="38" fontId="0" fillId="5" borderId="38" xfId="1" applyFont="1" applyFill="1" applyBorder="1" applyAlignment="1" applyProtection="1">
      <alignment vertical="center" shrinkToFit="1"/>
    </xf>
    <xf numFmtId="0" fontId="0" fillId="5" borderId="26" xfId="0" applyFill="1" applyBorder="1" applyAlignment="1">
      <alignment horizontal="center" vertical="center"/>
    </xf>
    <xf numFmtId="0" fontId="0" fillId="8" borderId="0" xfId="0" applyFill="1" applyProtection="1">
      <alignment vertical="center"/>
    </xf>
    <xf numFmtId="0" fontId="5" fillId="0" borderId="0" xfId="0" applyFont="1" applyAlignment="1" applyProtection="1">
      <alignment vertical="top" wrapText="1"/>
    </xf>
    <xf numFmtId="0" fontId="4" fillId="0" borderId="0" xfId="0" applyFont="1" applyAlignment="1" applyProtection="1">
      <alignment vertical="center" wrapText="1"/>
    </xf>
    <xf numFmtId="0" fontId="12" fillId="0" borderId="0" xfId="0" applyFont="1" applyAlignment="1" applyProtection="1">
      <alignment vertical="center" wrapText="1"/>
    </xf>
    <xf numFmtId="0" fontId="0" fillId="0" borderId="0" xfId="0" applyFont="1" applyAlignment="1" applyProtection="1">
      <alignment horizontal="left" vertical="center"/>
    </xf>
    <xf numFmtId="0" fontId="0" fillId="0" borderId="0" xfId="0" applyAlignment="1" applyProtection="1">
      <alignment vertical="center"/>
    </xf>
    <xf numFmtId="0" fontId="0" fillId="2" borderId="15" xfId="0" applyFill="1" applyBorder="1" applyProtection="1">
      <alignment vertical="center"/>
    </xf>
    <xf numFmtId="0" fontId="0" fillId="2" borderId="16" xfId="0" applyFill="1" applyBorder="1" applyProtection="1">
      <alignment vertical="center"/>
    </xf>
    <xf numFmtId="0" fontId="0" fillId="2" borderId="17" xfId="0" applyFill="1" applyBorder="1" applyProtection="1">
      <alignment vertical="center"/>
    </xf>
    <xf numFmtId="0" fontId="0" fillId="0" borderId="7" xfId="0" applyFill="1" applyBorder="1" applyProtection="1">
      <alignment vertical="center"/>
    </xf>
    <xf numFmtId="0" fontId="0" fillId="0" borderId="8" xfId="0" applyFill="1" applyBorder="1" applyProtection="1">
      <alignment vertical="center"/>
    </xf>
    <xf numFmtId="0" fontId="0" fillId="0" borderId="9" xfId="0" applyFill="1" applyBorder="1" applyProtection="1">
      <alignment vertical="center"/>
    </xf>
    <xf numFmtId="0" fontId="0" fillId="2" borderId="18" xfId="0" applyFill="1" applyBorder="1" applyProtection="1">
      <alignment vertical="center"/>
    </xf>
    <xf numFmtId="0" fontId="0" fillId="2" borderId="0" xfId="0" applyFill="1" applyBorder="1" applyProtection="1">
      <alignment vertical="center"/>
    </xf>
    <xf numFmtId="0" fontId="0" fillId="2" borderId="19" xfId="0" applyFill="1" applyBorder="1" applyProtection="1">
      <alignment vertical="center"/>
    </xf>
    <xf numFmtId="0" fontId="0" fillId="0" borderId="10" xfId="0" applyFill="1" applyBorder="1" applyProtection="1">
      <alignment vertical="center"/>
    </xf>
    <xf numFmtId="0" fontId="16" fillId="6" borderId="0" xfId="0" applyFont="1" applyFill="1" applyBorder="1" applyAlignment="1" applyProtection="1">
      <alignment horizontal="center" vertical="center"/>
    </xf>
    <xf numFmtId="0" fontId="22" fillId="6" borderId="0" xfId="0" applyFont="1" applyFill="1" applyBorder="1" applyProtection="1">
      <alignment vertical="center"/>
    </xf>
    <xf numFmtId="0" fontId="0" fillId="0" borderId="6" xfId="0" applyFill="1" applyBorder="1" applyProtection="1">
      <alignment vertical="center"/>
    </xf>
    <xf numFmtId="0" fontId="39" fillId="2" borderId="0" xfId="0" applyFont="1" applyFill="1" applyBorder="1" applyAlignment="1" applyProtection="1">
      <alignment horizontal="center" vertical="center" shrinkToFit="1"/>
    </xf>
    <xf numFmtId="0" fontId="0" fillId="0" borderId="0" xfId="0" applyFill="1" applyProtection="1">
      <alignment vertical="center"/>
    </xf>
    <xf numFmtId="0" fontId="30" fillId="6" borderId="0" xfId="0" quotePrefix="1" applyFont="1" applyFill="1" applyBorder="1" applyProtection="1">
      <alignment vertical="center"/>
    </xf>
    <xf numFmtId="0" fontId="9" fillId="2" borderId="0" xfId="0" applyFont="1" applyFill="1" applyBorder="1" applyAlignment="1" applyProtection="1">
      <alignment horizontal="center" vertical="center" shrinkToFit="1"/>
    </xf>
    <xf numFmtId="0" fontId="9" fillId="2" borderId="0" xfId="0" applyFont="1" applyFill="1" applyBorder="1" applyAlignment="1" applyProtection="1">
      <alignment vertical="center" shrinkToFit="1"/>
    </xf>
    <xf numFmtId="0" fontId="4" fillId="2" borderId="0" xfId="0" applyFont="1" applyFill="1" applyBorder="1" applyAlignment="1" applyProtection="1">
      <alignment horizontal="left" vertical="center"/>
    </xf>
    <xf numFmtId="0" fontId="9" fillId="2" borderId="0" xfId="0" applyFont="1" applyFill="1" applyBorder="1" applyProtection="1">
      <alignment vertical="center"/>
    </xf>
    <xf numFmtId="0" fontId="29" fillId="2" borderId="19" xfId="0" applyFont="1" applyFill="1" applyBorder="1" applyProtection="1">
      <alignment vertical="center"/>
    </xf>
    <xf numFmtId="0" fontId="5" fillId="0" borderId="10" xfId="0" applyFont="1" applyFill="1" applyBorder="1" applyAlignment="1" applyProtection="1">
      <alignment horizontal="left" vertical="center"/>
    </xf>
    <xf numFmtId="0" fontId="0" fillId="12" borderId="0" xfId="0" applyFill="1" applyBorder="1" applyAlignment="1" applyProtection="1">
      <alignment horizontal="center" vertical="center"/>
    </xf>
    <xf numFmtId="0" fontId="0" fillId="12" borderId="0" xfId="0" applyFill="1" applyBorder="1" applyProtection="1">
      <alignment vertical="center"/>
    </xf>
    <xf numFmtId="176" fontId="0" fillId="12" borderId="1" xfId="0" applyNumberFormat="1" applyFill="1" applyBorder="1" applyAlignment="1" applyProtection="1">
      <alignment vertical="center" shrinkToFit="1"/>
    </xf>
    <xf numFmtId="0" fontId="6" fillId="12" borderId="0" xfId="0" applyFont="1" applyFill="1" applyBorder="1" applyAlignment="1" applyProtection="1">
      <alignment horizontal="center" vertical="center"/>
    </xf>
    <xf numFmtId="0" fontId="7" fillId="12" borderId="0" xfId="0" quotePrefix="1" applyFont="1" applyFill="1" applyBorder="1" applyAlignment="1" applyProtection="1">
      <alignment horizontal="center" vertical="center"/>
    </xf>
    <xf numFmtId="0" fontId="0" fillId="12" borderId="6" xfId="0" applyFill="1" applyBorder="1" applyAlignment="1" applyProtection="1">
      <alignment horizontal="center" vertical="center"/>
    </xf>
    <xf numFmtId="0" fontId="5" fillId="2" borderId="0" xfId="0" applyFont="1" applyFill="1" applyBorder="1" applyAlignment="1" applyProtection="1">
      <alignment horizontal="left" vertical="center"/>
    </xf>
    <xf numFmtId="0" fontId="13" fillId="2" borderId="0" xfId="0" applyFont="1" applyFill="1" applyBorder="1" applyProtection="1">
      <alignment vertical="center"/>
    </xf>
    <xf numFmtId="181" fontId="13" fillId="2" borderId="0" xfId="1" applyNumberFormat="1" applyFont="1" applyFill="1" applyBorder="1" applyAlignment="1" applyProtection="1">
      <alignment horizontal="right" vertical="center" shrinkToFit="1"/>
    </xf>
    <xf numFmtId="184" fontId="13" fillId="2" borderId="0" xfId="1" applyNumberFormat="1" applyFont="1" applyFill="1" applyBorder="1" applyAlignment="1" applyProtection="1">
      <alignment horizontal="right" vertical="center" shrinkToFit="1"/>
    </xf>
    <xf numFmtId="183" fontId="13" fillId="2" borderId="0" xfId="1" applyNumberFormat="1" applyFont="1" applyFill="1" applyBorder="1" applyAlignment="1" applyProtection="1">
      <alignment horizontal="right" vertical="center" shrinkToFit="1"/>
    </xf>
    <xf numFmtId="0" fontId="0" fillId="0" borderId="10" xfId="0" applyFill="1" applyBorder="1" applyAlignment="1" applyProtection="1">
      <alignment horizontal="left" vertical="center"/>
    </xf>
    <xf numFmtId="0" fontId="0" fillId="0" borderId="0" xfId="0" applyFill="1" applyBorder="1" applyAlignment="1" applyProtection="1">
      <alignment horizontal="center" vertical="center"/>
    </xf>
    <xf numFmtId="0" fontId="0" fillId="0" borderId="6" xfId="0" applyFill="1" applyBorder="1" applyAlignment="1" applyProtection="1">
      <alignment horizontal="center" vertical="center"/>
    </xf>
    <xf numFmtId="0" fontId="5" fillId="0" borderId="0" xfId="0" applyFont="1" applyFill="1" applyAlignment="1" applyProtection="1">
      <alignment horizontal="left" vertical="center"/>
    </xf>
    <xf numFmtId="0" fontId="0" fillId="0" borderId="0" xfId="0" applyFill="1" applyAlignment="1" applyProtection="1">
      <alignment horizontal="left" vertical="center"/>
    </xf>
    <xf numFmtId="0" fontId="40" fillId="9" borderId="0" xfId="0" applyFont="1" applyFill="1" applyBorder="1" applyAlignment="1" applyProtection="1">
      <alignment horizontal="center" vertical="center"/>
    </xf>
    <xf numFmtId="0" fontId="0" fillId="10" borderId="0" xfId="0" applyFill="1" applyBorder="1" applyProtection="1">
      <alignment vertical="center"/>
    </xf>
    <xf numFmtId="176" fontId="0" fillId="10" borderId="1" xfId="0" applyNumberFormat="1" applyFill="1" applyBorder="1" applyAlignment="1" applyProtection="1">
      <alignment vertical="center" shrinkToFit="1"/>
    </xf>
    <xf numFmtId="0" fontId="6" fillId="10" borderId="0" xfId="0" applyFont="1" applyFill="1" applyBorder="1" applyAlignment="1" applyProtection="1">
      <alignment horizontal="center" vertical="center"/>
    </xf>
    <xf numFmtId="0" fontId="7" fillId="10" borderId="0" xfId="0" quotePrefix="1" applyFont="1" applyFill="1" applyBorder="1" applyAlignment="1" applyProtection="1">
      <alignment horizontal="center" vertical="center"/>
    </xf>
    <xf numFmtId="0" fontId="19" fillId="9" borderId="0" xfId="0" applyFont="1" applyFill="1" applyBorder="1" applyAlignment="1" applyProtection="1">
      <alignment horizontal="center" vertical="center"/>
    </xf>
    <xf numFmtId="0" fontId="40" fillId="9" borderId="6" xfId="0" applyFont="1" applyFill="1" applyBorder="1" applyAlignment="1" applyProtection="1">
      <alignment horizontal="center" vertical="center"/>
    </xf>
    <xf numFmtId="0" fontId="0" fillId="13" borderId="0" xfId="0" applyFill="1" applyBorder="1" applyAlignment="1" applyProtection="1">
      <alignment horizontal="center" vertical="center"/>
    </xf>
    <xf numFmtId="0" fontId="0" fillId="13" borderId="0" xfId="0" applyFill="1" applyBorder="1" applyProtection="1">
      <alignment vertical="center"/>
    </xf>
    <xf numFmtId="176" fontId="0" fillId="13" borderId="1" xfId="0" applyNumberFormat="1" applyFill="1" applyBorder="1" applyAlignment="1" applyProtection="1">
      <alignment vertical="center" shrinkToFit="1"/>
    </xf>
    <xf numFmtId="0" fontId="6" fillId="13" borderId="0" xfId="0" applyFont="1" applyFill="1" applyBorder="1" applyAlignment="1" applyProtection="1">
      <alignment horizontal="center" vertical="center"/>
    </xf>
    <xf numFmtId="0" fontId="7" fillId="13" borderId="0" xfId="0" quotePrefix="1" applyFont="1" applyFill="1" applyBorder="1" applyAlignment="1" applyProtection="1">
      <alignment horizontal="center" vertical="center"/>
    </xf>
    <xf numFmtId="0" fontId="0" fillId="13" borderId="6" xfId="0" applyFill="1" applyBorder="1" applyAlignment="1" applyProtection="1">
      <alignment horizontal="center" vertical="center"/>
    </xf>
    <xf numFmtId="0" fontId="0" fillId="0" borderId="11" xfId="0" applyFill="1" applyBorder="1" applyProtection="1">
      <alignment vertical="center"/>
    </xf>
    <xf numFmtId="0" fontId="0" fillId="0" borderId="12" xfId="0" applyFill="1" applyBorder="1" applyProtection="1">
      <alignment vertical="center"/>
    </xf>
    <xf numFmtId="0" fontId="0" fillId="2" borderId="20" xfId="0" applyFill="1" applyBorder="1" applyProtection="1">
      <alignment vertical="center"/>
    </xf>
    <xf numFmtId="0" fontId="0" fillId="2" borderId="21" xfId="0" applyFill="1" applyBorder="1" applyProtection="1">
      <alignment vertical="center"/>
    </xf>
    <xf numFmtId="0" fontId="13" fillId="2" borderId="21" xfId="0" applyFont="1" applyFill="1" applyBorder="1" applyProtection="1">
      <alignment vertical="center"/>
    </xf>
    <xf numFmtId="0" fontId="9" fillId="2" borderId="21" xfId="0" applyFont="1" applyFill="1" applyBorder="1" applyAlignment="1" applyProtection="1">
      <alignment horizontal="center" vertical="center" shrinkToFit="1"/>
    </xf>
    <xf numFmtId="0" fontId="9" fillId="2" borderId="21" xfId="0" applyFont="1" applyFill="1" applyBorder="1" applyAlignment="1" applyProtection="1">
      <alignment vertical="center" shrinkToFit="1"/>
    </xf>
    <xf numFmtId="0" fontId="0" fillId="2" borderId="22" xfId="0" applyFill="1" applyBorder="1" applyProtection="1">
      <alignment vertical="center"/>
    </xf>
    <xf numFmtId="176" fontId="4" fillId="0" borderId="0" xfId="0" applyNumberFormat="1" applyFont="1" applyFill="1" applyBorder="1" applyAlignment="1" applyProtection="1">
      <alignment vertical="top" shrinkToFit="1"/>
    </xf>
    <xf numFmtId="0" fontId="33" fillId="0" borderId="0" xfId="0" applyFont="1" applyFill="1" applyBorder="1" applyProtection="1">
      <alignment vertical="center"/>
    </xf>
    <xf numFmtId="0" fontId="33" fillId="0" borderId="0" xfId="0" applyFont="1" applyFill="1" applyBorder="1" applyAlignment="1" applyProtection="1">
      <alignment horizontal="right" vertical="center"/>
    </xf>
    <xf numFmtId="0" fontId="21" fillId="0" borderId="0" xfId="0" applyFont="1" applyBorder="1" applyAlignment="1" applyProtection="1">
      <alignment vertical="center" shrinkToFit="1"/>
    </xf>
    <xf numFmtId="0" fontId="21" fillId="4" borderId="34" xfId="0" applyFont="1" applyFill="1" applyBorder="1" applyProtection="1">
      <alignment vertical="center"/>
    </xf>
    <xf numFmtId="0" fontId="21" fillId="4" borderId="34" xfId="0" applyFont="1" applyFill="1" applyBorder="1" applyAlignment="1" applyProtection="1">
      <alignment horizontal="right" vertical="center"/>
    </xf>
    <xf numFmtId="0" fontId="4" fillId="0" borderId="0" xfId="0" applyFont="1" applyBorder="1" applyProtection="1">
      <alignment vertical="center"/>
    </xf>
    <xf numFmtId="0" fontId="4" fillId="0" borderId="0" xfId="0" applyFont="1" applyAlignment="1" applyProtection="1">
      <alignment horizontal="left" vertical="center"/>
    </xf>
    <xf numFmtId="0" fontId="26" fillId="0" borderId="0" xfId="0" applyFont="1" applyProtection="1">
      <alignment vertical="center"/>
    </xf>
    <xf numFmtId="0" fontId="15" fillId="6" borderId="1" xfId="0" applyFont="1" applyFill="1" applyBorder="1" applyAlignment="1" applyProtection="1">
      <alignment horizontal="center" vertical="center"/>
    </xf>
    <xf numFmtId="0" fontId="15" fillId="12" borderId="36" xfId="0" applyFont="1" applyFill="1" applyBorder="1" applyAlignment="1" applyProtection="1">
      <alignment horizontal="center" vertical="center"/>
    </xf>
    <xf numFmtId="0" fontId="20" fillId="9" borderId="37" xfId="0" applyFont="1" applyFill="1" applyBorder="1" applyAlignment="1" applyProtection="1">
      <alignment horizontal="center" vertical="center"/>
    </xf>
    <xf numFmtId="0" fontId="15" fillId="13" borderId="38" xfId="0" applyFont="1" applyFill="1" applyBorder="1" applyAlignment="1" applyProtection="1">
      <alignment horizontal="center" vertical="center"/>
    </xf>
    <xf numFmtId="0" fontId="15" fillId="0" borderId="1" xfId="0" applyFont="1" applyBorder="1" applyAlignment="1" applyProtection="1">
      <alignment horizontal="center" vertical="center"/>
    </xf>
    <xf numFmtId="38" fontId="16" fillId="0" borderId="10" xfId="0" applyNumberFormat="1" applyFont="1" applyBorder="1" applyAlignment="1" applyProtection="1">
      <alignment horizontal="center" vertical="center" shrinkToFit="1"/>
    </xf>
    <xf numFmtId="0" fontId="5" fillId="0" borderId="36" xfId="0" applyFont="1" applyBorder="1" applyAlignment="1" applyProtection="1">
      <alignment horizontal="center" vertical="center"/>
    </xf>
    <xf numFmtId="38" fontId="9" fillId="0" borderId="10" xfId="0" applyNumberFormat="1" applyFont="1" applyBorder="1" applyAlignment="1" applyProtection="1">
      <alignment horizontal="right" vertical="center" shrinkToFit="1"/>
    </xf>
    <xf numFmtId="0" fontId="5" fillId="0" borderId="37" xfId="0" applyFont="1" applyBorder="1" applyAlignment="1" applyProtection="1">
      <alignment horizontal="center" vertical="center"/>
    </xf>
    <xf numFmtId="0" fontId="5" fillId="0" borderId="38" xfId="0" applyFont="1" applyBorder="1" applyAlignment="1" applyProtection="1">
      <alignment horizontal="center" vertical="center"/>
    </xf>
    <xf numFmtId="0" fontId="17" fillId="0" borderId="0" xfId="0" applyFont="1" applyProtection="1">
      <alignment vertical="center"/>
    </xf>
    <xf numFmtId="0" fontId="0" fillId="0" borderId="0" xfId="0">
      <alignment vertical="center"/>
    </xf>
    <xf numFmtId="0" fontId="0" fillId="0" borderId="0" xfId="0">
      <alignment vertical="center"/>
    </xf>
    <xf numFmtId="0" fontId="0" fillId="0" borderId="0" xfId="0">
      <alignment vertical="center"/>
    </xf>
    <xf numFmtId="0" fontId="0" fillId="5" borderId="5" xfId="0" applyFill="1" applyBorder="1">
      <alignment vertical="center"/>
    </xf>
    <xf numFmtId="0" fontId="9" fillId="3" borderId="5" xfId="0" applyFont="1" applyFill="1" applyBorder="1" applyAlignment="1">
      <alignment vertical="center" wrapText="1" shrinkToFit="1"/>
    </xf>
    <xf numFmtId="0" fontId="0" fillId="3" borderId="25" xfId="0" applyFill="1" applyBorder="1" applyAlignment="1" applyProtection="1">
      <alignment horizontal="center" vertical="center" shrinkToFit="1"/>
    </xf>
    <xf numFmtId="0" fontId="0" fillId="3" borderId="5" xfId="0" applyFill="1" applyBorder="1" applyAlignment="1" applyProtection="1">
      <alignment horizontal="center" vertical="center" shrinkToFit="1"/>
    </xf>
    <xf numFmtId="38" fontId="0" fillId="3" borderId="1" xfId="1" applyFont="1" applyFill="1" applyBorder="1" applyAlignment="1" applyProtection="1">
      <alignment horizontal="center" vertical="center" shrinkToFit="1"/>
    </xf>
    <xf numFmtId="0" fontId="0" fillId="3" borderId="23" xfId="0" applyFill="1" applyBorder="1" applyAlignment="1">
      <alignment horizontal="center" vertical="center" shrinkToFit="1"/>
    </xf>
    <xf numFmtId="0" fontId="0" fillId="3" borderId="51" xfId="0" applyFill="1" applyBorder="1" applyAlignment="1">
      <alignment horizontal="center" vertical="center" shrinkToFit="1"/>
    </xf>
    <xf numFmtId="0" fontId="0" fillId="5" borderId="36" xfId="0" applyFill="1" applyBorder="1" applyAlignment="1" applyProtection="1">
      <alignment vertical="center" shrinkToFit="1"/>
    </xf>
    <xf numFmtId="0" fontId="0" fillId="5" borderId="41" xfId="0" applyFill="1" applyBorder="1" applyAlignment="1" applyProtection="1">
      <alignment vertical="center" shrinkToFit="1"/>
    </xf>
    <xf numFmtId="38" fontId="0" fillId="5" borderId="37" xfId="1" applyFont="1" applyFill="1" applyBorder="1" applyAlignment="1" applyProtection="1">
      <alignment vertical="center" shrinkToFit="1"/>
    </xf>
    <xf numFmtId="0" fontId="0" fillId="0" borderId="0" xfId="0">
      <alignment vertical="center"/>
    </xf>
    <xf numFmtId="38" fontId="0" fillId="5" borderId="55" xfId="1" applyFont="1" applyFill="1" applyBorder="1" applyProtection="1">
      <alignment vertical="center"/>
    </xf>
    <xf numFmtId="0" fontId="0" fillId="5" borderId="1" xfId="0" applyFill="1" applyBorder="1" applyAlignment="1" applyProtection="1">
      <alignment horizontal="justify" vertical="center" wrapText="1" shrinkToFit="1"/>
    </xf>
    <xf numFmtId="0" fontId="0" fillId="3" borderId="25" xfId="0" applyFill="1" applyBorder="1" applyAlignment="1" applyProtection="1">
      <alignment horizontal="center" vertical="center"/>
    </xf>
    <xf numFmtId="0" fontId="0" fillId="4" borderId="1" xfId="0" applyFill="1" applyBorder="1" applyAlignment="1" applyProtection="1">
      <alignment horizontal="center" vertical="center"/>
    </xf>
    <xf numFmtId="38" fontId="0" fillId="6" borderId="36" xfId="1" applyFont="1" applyFill="1" applyBorder="1" applyAlignment="1" applyProtection="1">
      <alignment vertical="center" shrinkToFit="1"/>
    </xf>
    <xf numFmtId="38" fontId="0" fillId="6" borderId="37" xfId="1" applyFont="1" applyFill="1" applyBorder="1" applyAlignment="1" applyProtection="1">
      <alignment vertical="center" shrinkToFit="1"/>
    </xf>
    <xf numFmtId="38" fontId="0" fillId="6" borderId="38" xfId="1" applyFont="1" applyFill="1" applyBorder="1" applyAlignment="1" applyProtection="1">
      <alignment vertical="center" shrinkToFit="1"/>
    </xf>
    <xf numFmtId="0" fontId="0" fillId="6" borderId="36" xfId="0" applyFill="1" applyBorder="1" applyProtection="1">
      <alignment vertical="center"/>
    </xf>
    <xf numFmtId="0" fontId="0" fillId="6" borderId="37" xfId="0" applyFill="1" applyBorder="1" applyProtection="1">
      <alignment vertical="center"/>
    </xf>
    <xf numFmtId="0" fontId="0" fillId="6" borderId="38" xfId="0" applyFill="1" applyBorder="1" applyProtection="1">
      <alignment vertical="center"/>
    </xf>
    <xf numFmtId="38" fontId="0" fillId="6" borderId="1" xfId="1" applyFont="1" applyFill="1" applyBorder="1">
      <alignment vertical="center"/>
    </xf>
    <xf numFmtId="182" fontId="0" fillId="5" borderId="1" xfId="0" applyNumberFormat="1" applyFill="1" applyBorder="1">
      <alignment vertical="center"/>
    </xf>
    <xf numFmtId="0" fontId="0" fillId="0" borderId="0" xfId="0">
      <alignment vertical="center"/>
    </xf>
    <xf numFmtId="0" fontId="8" fillId="0" borderId="0" xfId="0" applyFont="1">
      <alignment vertical="center"/>
    </xf>
    <xf numFmtId="0" fontId="0" fillId="4" borderId="34" xfId="0" applyFill="1" applyBorder="1" applyProtection="1">
      <alignment vertical="center"/>
    </xf>
    <xf numFmtId="0" fontId="0" fillId="0" borderId="47" xfId="0" applyFill="1" applyBorder="1" applyProtection="1">
      <alignment vertical="center"/>
    </xf>
    <xf numFmtId="0" fontId="13" fillId="0" borderId="6" xfId="0" applyFont="1" applyFill="1" applyBorder="1" applyAlignment="1" applyProtection="1">
      <alignment horizontal="center" vertical="center"/>
    </xf>
    <xf numFmtId="176" fontId="0" fillId="0" borderId="1" xfId="0" applyNumberFormat="1" applyFill="1" applyBorder="1" applyAlignment="1" applyProtection="1">
      <alignment vertical="center" shrinkToFit="1"/>
    </xf>
    <xf numFmtId="0" fontId="9" fillId="0" borderId="6" xfId="0" applyFont="1" applyFill="1" applyBorder="1" applyAlignment="1" applyProtection="1">
      <alignment horizontal="left" vertical="center"/>
    </xf>
    <xf numFmtId="176" fontId="9" fillId="0" borderId="0" xfId="0" applyNumberFormat="1" applyFont="1" applyFill="1" applyBorder="1" applyAlignment="1" applyProtection="1">
      <alignment vertical="center" shrinkToFit="1"/>
    </xf>
    <xf numFmtId="0" fontId="0" fillId="0" borderId="6" xfId="0" applyFill="1" applyBorder="1" applyAlignment="1" applyProtection="1">
      <alignment horizontal="left" vertical="center"/>
    </xf>
    <xf numFmtId="0" fontId="0" fillId="0" borderId="48" xfId="0" applyFill="1" applyBorder="1" applyProtection="1">
      <alignment vertical="center"/>
    </xf>
    <xf numFmtId="177" fontId="0" fillId="0" borderId="1" xfId="1" applyNumberFormat="1" applyFont="1" applyFill="1" applyBorder="1" applyAlignment="1" applyProtection="1">
      <alignment vertical="center" shrinkToFit="1"/>
      <protection locked="0"/>
    </xf>
    <xf numFmtId="0" fontId="38" fillId="2" borderId="0" xfId="0" applyFont="1" applyFill="1" applyBorder="1" applyAlignment="1" applyProtection="1">
      <alignment horizontal="center" vertical="center" wrapText="1"/>
    </xf>
    <xf numFmtId="0" fontId="38" fillId="2" borderId="56" xfId="0" applyFont="1" applyFill="1" applyBorder="1" applyAlignment="1" applyProtection="1">
      <alignment horizontal="center" vertical="center" wrapText="1"/>
    </xf>
    <xf numFmtId="0" fontId="39" fillId="2" borderId="56" xfId="0" applyFont="1" applyFill="1" applyBorder="1" applyAlignment="1" applyProtection="1">
      <alignment horizontal="center" vertical="center" shrinkToFit="1"/>
    </xf>
    <xf numFmtId="0" fontId="0" fillId="6" borderId="6" xfId="0" applyFill="1" applyBorder="1" applyProtection="1">
      <alignment vertical="center"/>
    </xf>
    <xf numFmtId="0" fontId="0" fillId="0" borderId="0" xfId="0" applyFill="1">
      <alignment vertical="center"/>
    </xf>
    <xf numFmtId="0" fontId="0" fillId="0" borderId="0" xfId="0" applyBorder="1">
      <alignment vertical="center"/>
    </xf>
    <xf numFmtId="0" fontId="8" fillId="0" borderId="0" xfId="0" applyFont="1" applyBorder="1">
      <alignment vertical="center"/>
    </xf>
    <xf numFmtId="0" fontId="0" fillId="0" borderId="58" xfId="0" applyBorder="1">
      <alignment vertical="center"/>
    </xf>
    <xf numFmtId="0" fontId="8" fillId="0" borderId="58" xfId="0" applyFont="1" applyBorder="1">
      <alignment vertical="center"/>
    </xf>
    <xf numFmtId="0" fontId="29" fillId="2" borderId="19" xfId="0" applyFont="1" applyFill="1" applyBorder="1" applyAlignment="1" applyProtection="1">
      <alignment vertical="center" textRotation="255" shrinkToFit="1"/>
    </xf>
    <xf numFmtId="38" fontId="0" fillId="6" borderId="36" xfId="1" applyFont="1" applyFill="1" applyBorder="1" applyProtection="1">
      <alignment vertical="center"/>
    </xf>
    <xf numFmtId="38" fontId="0" fillId="6" borderId="37" xfId="1" applyFont="1" applyFill="1" applyBorder="1" applyProtection="1">
      <alignment vertical="center"/>
    </xf>
    <xf numFmtId="38" fontId="0" fillId="6" borderId="38" xfId="1" applyFont="1" applyFill="1" applyBorder="1" applyProtection="1">
      <alignment vertical="center"/>
    </xf>
    <xf numFmtId="0" fontId="0" fillId="6" borderId="37" xfId="0" applyFill="1" applyBorder="1" applyAlignment="1" applyProtection="1">
      <alignment horizontal="center" vertical="center"/>
    </xf>
    <xf numFmtId="0" fontId="0" fillId="6" borderId="38" xfId="0" applyFill="1" applyBorder="1" applyAlignment="1" applyProtection="1">
      <alignment horizontal="center" vertical="center"/>
    </xf>
    <xf numFmtId="38" fontId="0" fillId="6" borderId="0" xfId="1" applyFont="1" applyFill="1" applyBorder="1" applyProtection="1">
      <alignment vertical="center"/>
    </xf>
    <xf numFmtId="0" fontId="52" fillId="0" borderId="0" xfId="0" applyFont="1">
      <alignment vertical="center"/>
    </xf>
    <xf numFmtId="186" fontId="0" fillId="0" borderId="1" xfId="1" applyNumberFormat="1" applyFont="1" applyFill="1" applyBorder="1" applyAlignment="1" applyProtection="1">
      <alignment vertical="center" shrinkToFit="1"/>
      <protection locked="0"/>
    </xf>
    <xf numFmtId="38" fontId="0" fillId="6" borderId="41" xfId="1" applyFont="1" applyFill="1" applyBorder="1" applyAlignment="1" applyProtection="1">
      <alignment vertical="center" shrinkToFit="1"/>
    </xf>
    <xf numFmtId="38" fontId="0" fillId="6" borderId="44" xfId="1" applyFont="1" applyFill="1" applyBorder="1" applyAlignment="1" applyProtection="1">
      <alignment vertical="center" shrinkToFit="1"/>
    </xf>
    <xf numFmtId="38" fontId="0" fillId="6" borderId="35" xfId="1" applyFont="1" applyFill="1" applyBorder="1" applyAlignment="1" applyProtection="1">
      <alignment vertical="center" shrinkToFit="1"/>
    </xf>
    <xf numFmtId="0" fontId="0" fillId="6" borderId="12" xfId="0" applyFill="1" applyBorder="1" applyProtection="1">
      <alignment vertical="center"/>
    </xf>
    <xf numFmtId="0" fontId="0" fillId="6" borderId="12" xfId="0" applyFill="1" applyBorder="1">
      <alignment vertical="center"/>
    </xf>
    <xf numFmtId="0" fontId="44" fillId="6" borderId="12" xfId="0" applyFont="1" applyFill="1" applyBorder="1">
      <alignment vertical="center"/>
    </xf>
    <xf numFmtId="0" fontId="9" fillId="3" borderId="5" xfId="0" applyFont="1" applyFill="1" applyBorder="1" applyAlignment="1" applyProtection="1">
      <alignment horizontal="center" vertical="center" wrapText="1"/>
    </xf>
    <xf numFmtId="38" fontId="0" fillId="6" borderId="49" xfId="1" applyFont="1" applyFill="1" applyBorder="1" applyAlignment="1" applyProtection="1">
      <alignment vertical="center" shrinkToFit="1"/>
    </xf>
    <xf numFmtId="38" fontId="0" fillId="6" borderId="50" xfId="1" applyFont="1" applyFill="1" applyBorder="1" applyAlignment="1" applyProtection="1">
      <alignment vertical="center" shrinkToFit="1"/>
    </xf>
    <xf numFmtId="38" fontId="0" fillId="6" borderId="24" xfId="1" applyFont="1" applyFill="1" applyBorder="1" applyAlignment="1" applyProtection="1">
      <alignment vertical="center" shrinkToFit="1"/>
    </xf>
    <xf numFmtId="0" fontId="9" fillId="3" borderId="28"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13" fillId="3" borderId="28" xfId="0" applyFont="1" applyFill="1" applyBorder="1" applyAlignment="1" applyProtection="1">
      <alignment horizontal="center" vertical="center" wrapText="1"/>
    </xf>
    <xf numFmtId="0" fontId="13" fillId="2" borderId="0" xfId="0" applyFont="1" applyFill="1" applyBorder="1" applyAlignment="1" applyProtection="1">
      <alignment horizontal="right" vertical="center"/>
    </xf>
    <xf numFmtId="38" fontId="0" fillId="5" borderId="36" xfId="1" applyFont="1" applyFill="1" applyBorder="1" applyAlignment="1" applyProtection="1">
      <alignment vertical="center" shrinkToFit="1"/>
    </xf>
    <xf numFmtId="38" fontId="0" fillId="5" borderId="52" xfId="1" applyFont="1" applyFill="1" applyBorder="1" applyAlignment="1" applyProtection="1">
      <alignment vertical="center" shrinkToFit="1"/>
    </xf>
    <xf numFmtId="38" fontId="0" fillId="5" borderId="53" xfId="1" applyFont="1" applyFill="1" applyBorder="1" applyAlignment="1" applyProtection="1">
      <alignment vertical="center" shrinkToFit="1"/>
    </xf>
    <xf numFmtId="38" fontId="0" fillId="5" borderId="54" xfId="1" applyFont="1" applyFill="1" applyBorder="1" applyAlignment="1" applyProtection="1">
      <alignment vertical="center" shrinkToFit="1"/>
    </xf>
    <xf numFmtId="0" fontId="0" fillId="12" borderId="0" xfId="0" applyFill="1" applyBorder="1" applyAlignment="1" applyProtection="1">
      <alignment horizontal="center" vertical="center" shrinkToFit="1"/>
    </xf>
    <xf numFmtId="0" fontId="0" fillId="6" borderId="0" xfId="0" applyFill="1" applyBorder="1" applyAlignment="1">
      <alignment horizontal="center" vertical="center"/>
    </xf>
    <xf numFmtId="0" fontId="9" fillId="3" borderId="1" xfId="0" applyFont="1" applyFill="1" applyBorder="1" applyAlignment="1" applyProtection="1">
      <alignment horizontal="centerContinuous" vertical="center" wrapText="1"/>
    </xf>
    <xf numFmtId="187" fontId="5" fillId="0" borderId="0" xfId="0" applyNumberFormat="1" applyFont="1" applyAlignment="1" applyProtection="1">
      <alignment vertical="center" shrinkToFit="1"/>
    </xf>
    <xf numFmtId="57" fontId="0" fillId="2" borderId="0" xfId="0" applyNumberFormat="1" applyFill="1" applyBorder="1" applyProtection="1">
      <alignment vertical="center"/>
    </xf>
    <xf numFmtId="0" fontId="9" fillId="3" borderId="28" xfId="0" applyFont="1" applyFill="1" applyBorder="1" applyAlignment="1">
      <alignment vertical="center" wrapText="1" shrinkToFit="1"/>
    </xf>
    <xf numFmtId="0" fontId="9" fillId="3" borderId="7" xfId="0" applyFont="1" applyFill="1" applyBorder="1" applyAlignment="1" applyProtection="1">
      <alignment horizontal="center" vertical="center" wrapText="1"/>
    </xf>
    <xf numFmtId="0" fontId="4" fillId="3" borderId="1" xfId="0" applyFont="1" applyFill="1" applyBorder="1" applyAlignment="1" applyProtection="1">
      <alignment horizontal="left" vertical="center" wrapText="1"/>
    </xf>
    <xf numFmtId="38" fontId="9" fillId="3" borderId="1" xfId="1" applyFont="1" applyFill="1" applyBorder="1" applyAlignment="1" applyProtection="1">
      <alignment horizontal="justify" vertical="center" wrapText="1" shrinkToFit="1"/>
    </xf>
    <xf numFmtId="38" fontId="0" fillId="6" borderId="0" xfId="1" applyFont="1" applyFill="1" applyBorder="1" applyAlignment="1" applyProtection="1">
      <alignment vertical="center" shrinkToFit="1"/>
    </xf>
    <xf numFmtId="0" fontId="4" fillId="6" borderId="0" xfId="0" applyFont="1" applyFill="1" applyAlignment="1" applyProtection="1">
      <alignment horizontal="right" vertical="center"/>
    </xf>
    <xf numFmtId="0" fontId="0" fillId="6" borderId="0" xfId="0" applyFill="1" applyAlignment="1" applyProtection="1">
      <alignment horizontal="center" vertical="center"/>
    </xf>
    <xf numFmtId="0" fontId="0" fillId="6" borderId="0" xfId="0" applyFill="1" applyAlignment="1" applyProtection="1">
      <alignment horizontal="center" vertical="center" shrinkToFit="1"/>
    </xf>
    <xf numFmtId="38" fontId="0" fillId="6" borderId="6" xfId="1" applyFont="1" applyFill="1" applyBorder="1" applyAlignment="1" applyProtection="1">
      <alignment vertical="center" shrinkToFit="1"/>
    </xf>
    <xf numFmtId="38" fontId="0" fillId="6" borderId="8" xfId="1" applyFont="1" applyFill="1" applyBorder="1" applyProtection="1">
      <alignment vertical="center"/>
    </xf>
    <xf numFmtId="0" fontId="0" fillId="3" borderId="1" xfId="0" applyFill="1" applyBorder="1" applyAlignment="1" applyProtection="1">
      <alignment horizontal="center" vertical="center"/>
    </xf>
    <xf numFmtId="0" fontId="0" fillId="6" borderId="1" xfId="0" applyFill="1" applyBorder="1" applyProtection="1">
      <alignment vertical="center"/>
    </xf>
    <xf numFmtId="0" fontId="0" fillId="6" borderId="0" xfId="0" applyFill="1" applyBorder="1" applyAlignment="1">
      <alignment vertical="center" shrinkToFit="1"/>
    </xf>
    <xf numFmtId="14" fontId="0" fillId="6" borderId="0" xfId="0" applyNumberFormat="1" applyFill="1" applyBorder="1" applyAlignment="1">
      <alignment vertical="center" shrinkToFit="1"/>
    </xf>
    <xf numFmtId="0" fontId="0" fillId="6" borderId="0" xfId="0" quotePrefix="1" applyFill="1" applyBorder="1" applyAlignment="1">
      <alignment vertical="center" shrinkToFit="1"/>
    </xf>
    <xf numFmtId="14" fontId="0" fillId="6" borderId="1" xfId="0" applyNumberFormat="1" applyFill="1" applyBorder="1" applyAlignment="1">
      <alignment horizontal="right" vertical="center" shrinkToFit="1"/>
    </xf>
    <xf numFmtId="188" fontId="0" fillId="6" borderId="1" xfId="0" applyNumberFormat="1" applyFill="1" applyBorder="1" applyAlignment="1">
      <alignment horizontal="right" vertical="center"/>
    </xf>
    <xf numFmtId="14" fontId="0" fillId="6" borderId="1" xfId="0" applyNumberFormat="1" applyFill="1" applyBorder="1">
      <alignment vertical="center"/>
    </xf>
    <xf numFmtId="0" fontId="5" fillId="3" borderId="1" xfId="0" applyFont="1" applyFill="1" applyBorder="1" applyAlignment="1">
      <alignment horizontal="center" vertical="center" wrapText="1" shrinkToFit="1"/>
    </xf>
    <xf numFmtId="0" fontId="9" fillId="3" borderId="1" xfId="0" applyFont="1" applyFill="1" applyBorder="1" applyAlignment="1">
      <alignment vertical="center" wrapText="1"/>
    </xf>
    <xf numFmtId="0" fontId="0" fillId="6" borderId="1" xfId="0" applyFill="1" applyBorder="1" applyAlignment="1">
      <alignment horizontal="center" vertical="center"/>
    </xf>
    <xf numFmtId="0" fontId="9" fillId="3"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36" xfId="0" applyFill="1" applyBorder="1" applyAlignment="1">
      <alignment horizontal="center" vertical="center"/>
    </xf>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4" fillId="3" borderId="1" xfId="0" applyFont="1" applyFill="1" applyBorder="1" applyAlignment="1">
      <alignment horizontal="center" vertical="center" shrinkToFit="1"/>
    </xf>
    <xf numFmtId="0" fontId="0" fillId="3" borderId="5" xfId="0" applyFill="1" applyBorder="1" applyAlignment="1">
      <alignment horizontal="center" vertical="center" shrinkToFit="1"/>
    </xf>
    <xf numFmtId="0" fontId="0" fillId="3" borderId="28" xfId="0" applyFill="1" applyBorder="1" applyAlignment="1">
      <alignment horizontal="center" vertical="center" shrinkToFit="1"/>
    </xf>
    <xf numFmtId="0" fontId="0" fillId="3" borderId="66" xfId="0" applyFill="1" applyBorder="1" applyAlignment="1">
      <alignment horizontal="center" vertical="center"/>
    </xf>
    <xf numFmtId="0" fontId="0" fillId="5" borderId="70" xfId="0" applyFill="1" applyBorder="1" applyAlignment="1">
      <alignment vertical="center" shrinkToFit="1"/>
    </xf>
    <xf numFmtId="38" fontId="0" fillId="5" borderId="29" xfId="1" applyFont="1" applyFill="1" applyBorder="1">
      <alignment vertical="center"/>
    </xf>
    <xf numFmtId="0" fontId="0" fillId="16" borderId="5" xfId="0" applyFill="1" applyBorder="1" applyAlignment="1" applyProtection="1">
      <alignment horizontal="center" vertical="center"/>
      <protection locked="0"/>
    </xf>
    <xf numFmtId="38" fontId="0" fillId="16" borderId="1" xfId="1" applyFont="1" applyFill="1" applyBorder="1" applyProtection="1">
      <alignment vertical="center"/>
    </xf>
    <xf numFmtId="0" fontId="0" fillId="16" borderId="1" xfId="0" applyFill="1" applyBorder="1" applyProtection="1">
      <alignment vertical="center"/>
    </xf>
    <xf numFmtId="38" fontId="0" fillId="16" borderId="1" xfId="1" applyFont="1" applyFill="1" applyBorder="1" applyAlignment="1" applyProtection="1">
      <alignment horizontal="center" vertical="center"/>
    </xf>
    <xf numFmtId="0" fontId="0" fillId="6" borderId="36" xfId="0" applyFill="1" applyBorder="1" applyAlignment="1" applyProtection="1">
      <alignment horizontal="center" vertical="center"/>
      <protection locked="0"/>
    </xf>
    <xf numFmtId="0" fontId="0" fillId="6" borderId="37" xfId="0" applyFill="1" applyBorder="1" applyAlignment="1" applyProtection="1">
      <alignment horizontal="center" vertical="center"/>
      <protection locked="0"/>
    </xf>
    <xf numFmtId="0" fontId="0" fillId="6" borderId="38" xfId="0" applyFill="1" applyBorder="1" applyAlignment="1" applyProtection="1">
      <alignment horizontal="center" vertical="center"/>
      <protection locked="0"/>
    </xf>
    <xf numFmtId="0" fontId="0" fillId="5" borderId="38" xfId="0" applyFill="1" applyBorder="1" applyAlignment="1">
      <alignment horizontal="center" vertical="center" shrinkToFit="1"/>
    </xf>
    <xf numFmtId="0" fontId="0" fillId="3" borderId="25" xfId="0" applyFill="1" applyBorder="1" applyAlignment="1">
      <alignment horizontal="center" vertical="center"/>
    </xf>
    <xf numFmtId="0" fontId="0" fillId="3" borderId="25" xfId="0" applyFill="1" applyBorder="1" applyAlignment="1">
      <alignment horizontal="center" vertical="center" shrinkToFit="1"/>
    </xf>
    <xf numFmtId="0" fontId="0" fillId="3" borderId="7" xfId="0" applyFill="1" applyBorder="1" applyAlignment="1">
      <alignment horizontal="center" vertical="center" shrinkToFit="1"/>
    </xf>
    <xf numFmtId="0" fontId="0" fillId="3" borderId="32" xfId="0" applyFill="1" applyBorder="1" applyAlignment="1">
      <alignment horizontal="center" vertical="center" shrinkToFit="1"/>
    </xf>
    <xf numFmtId="38" fontId="0" fillId="6" borderId="0" xfId="1" applyFont="1" applyFill="1" applyProtection="1">
      <alignment vertical="center"/>
    </xf>
    <xf numFmtId="0" fontId="0" fillId="6" borderId="0" xfId="0" applyFill="1" applyAlignment="1" applyProtection="1">
      <alignment vertical="center" shrinkToFit="1"/>
    </xf>
    <xf numFmtId="38" fontId="0" fillId="6" borderId="1" xfId="0" applyNumberFormat="1" applyFill="1" applyBorder="1">
      <alignment vertical="center"/>
    </xf>
    <xf numFmtId="0" fontId="0" fillId="6" borderId="25" xfId="0" applyFill="1" applyBorder="1" applyAlignment="1">
      <alignment horizontal="center" vertical="center" shrinkToFit="1"/>
    </xf>
    <xf numFmtId="38" fontId="0" fillId="17" borderId="67" xfId="1" applyFont="1" applyFill="1" applyBorder="1" applyAlignment="1" applyProtection="1">
      <alignment vertical="center" shrinkToFit="1"/>
      <protection locked="0"/>
    </xf>
    <xf numFmtId="38" fontId="0" fillId="17" borderId="68" xfId="1" applyFont="1" applyFill="1" applyBorder="1" applyAlignment="1" applyProtection="1">
      <alignment vertical="center" shrinkToFit="1"/>
      <protection locked="0"/>
    </xf>
    <xf numFmtId="38" fontId="0" fillId="17" borderId="69" xfId="1" applyFont="1" applyFill="1" applyBorder="1" applyAlignment="1" applyProtection="1">
      <alignment vertical="center" shrinkToFit="1"/>
      <protection locked="0"/>
    </xf>
    <xf numFmtId="0" fontId="0" fillId="6" borderId="36" xfId="0" applyFill="1" applyBorder="1" applyAlignment="1" applyProtection="1">
      <alignment horizontal="center" vertical="center"/>
    </xf>
    <xf numFmtId="0" fontId="4" fillId="6" borderId="1" xfId="0" applyFont="1" applyFill="1" applyBorder="1" applyAlignment="1" applyProtection="1">
      <alignment horizontal="center" vertical="center"/>
    </xf>
    <xf numFmtId="38" fontId="0" fillId="5" borderId="14" xfId="1" applyFont="1" applyFill="1" applyBorder="1" applyProtection="1">
      <alignment vertical="center"/>
    </xf>
    <xf numFmtId="0" fontId="0" fillId="3" borderId="26" xfId="0" applyFill="1" applyBorder="1" applyAlignment="1" applyProtection="1">
      <alignment vertical="center" shrinkToFit="1"/>
    </xf>
    <xf numFmtId="38" fontId="0" fillId="6" borderId="1" xfId="1" applyFont="1" applyFill="1" applyBorder="1" applyAlignment="1" applyProtection="1">
      <alignment vertical="center" shrinkToFit="1"/>
    </xf>
    <xf numFmtId="38" fontId="0" fillId="6" borderId="14" xfId="1" applyFont="1" applyFill="1" applyBorder="1" applyProtection="1">
      <alignment vertical="center"/>
    </xf>
    <xf numFmtId="38" fontId="0" fillId="6" borderId="5" xfId="1" applyFont="1" applyFill="1" applyBorder="1" applyProtection="1">
      <alignment vertical="center"/>
    </xf>
    <xf numFmtId="0" fontId="13" fillId="3" borderId="5" xfId="0" applyFont="1" applyFill="1" applyBorder="1" applyAlignment="1" applyProtection="1">
      <alignment horizontal="centerContinuous" vertical="center" wrapText="1" shrinkToFit="1"/>
    </xf>
    <xf numFmtId="0" fontId="54" fillId="6" borderId="0" xfId="2" applyFill="1" applyBorder="1">
      <alignment vertical="center"/>
    </xf>
    <xf numFmtId="0" fontId="9" fillId="16" borderId="36" xfId="0" applyFont="1" applyFill="1" applyBorder="1" applyAlignment="1">
      <alignment horizontal="center" vertical="center" shrinkToFit="1"/>
    </xf>
    <xf numFmtId="0" fontId="9" fillId="16" borderId="37" xfId="0" applyFont="1" applyFill="1" applyBorder="1" applyAlignment="1">
      <alignment horizontal="center" vertical="center" shrinkToFit="1"/>
    </xf>
    <xf numFmtId="0" fontId="0" fillId="16" borderId="37" xfId="0" applyFill="1" applyBorder="1" applyAlignment="1">
      <alignment horizontal="center" vertical="center" shrinkToFit="1"/>
    </xf>
    <xf numFmtId="0" fontId="0" fillId="16" borderId="26" xfId="0" applyFill="1" applyBorder="1" applyAlignment="1">
      <alignment horizontal="center" vertical="center" shrinkToFit="1"/>
    </xf>
    <xf numFmtId="0" fontId="0" fillId="18" borderId="61" xfId="0" applyFill="1" applyBorder="1">
      <alignment vertical="center"/>
    </xf>
    <xf numFmtId="0" fontId="0" fillId="18" borderId="50" xfId="0" applyFill="1" applyBorder="1">
      <alignment vertical="center"/>
    </xf>
    <xf numFmtId="0" fontId="0" fillId="18" borderId="62" xfId="0" applyFill="1" applyBorder="1">
      <alignment vertical="center"/>
    </xf>
    <xf numFmtId="0" fontId="0" fillId="18" borderId="36" xfId="0" applyFill="1" applyBorder="1" applyAlignment="1" applyProtection="1">
      <alignment vertical="center" shrinkToFit="1"/>
      <protection locked="0"/>
    </xf>
    <xf numFmtId="0" fontId="0" fillId="18" borderId="37" xfId="0" applyFill="1" applyBorder="1" applyAlignment="1" applyProtection="1">
      <alignment vertical="center" shrinkToFit="1"/>
      <protection locked="0"/>
    </xf>
    <xf numFmtId="0" fontId="0" fillId="18" borderId="38" xfId="0" applyFill="1" applyBorder="1" applyAlignment="1" applyProtection="1">
      <alignment vertical="center" shrinkToFit="1"/>
      <protection locked="0"/>
    </xf>
    <xf numFmtId="0" fontId="31" fillId="18" borderId="27" xfId="0" applyFont="1" applyFill="1" applyBorder="1" applyAlignment="1" applyProtection="1">
      <alignment horizontal="center" vertical="center" shrinkToFit="1"/>
      <protection locked="0"/>
    </xf>
    <xf numFmtId="182" fontId="0" fillId="18" borderId="30" xfId="0" applyNumberFormat="1" applyFill="1" applyBorder="1" applyProtection="1">
      <alignment vertical="center"/>
      <protection locked="0"/>
    </xf>
    <xf numFmtId="182" fontId="0" fillId="18" borderId="27" xfId="0" applyNumberFormat="1" applyFill="1" applyBorder="1" applyProtection="1">
      <alignment vertical="center"/>
      <protection locked="0"/>
    </xf>
    <xf numFmtId="182" fontId="0" fillId="18" borderId="31" xfId="0" applyNumberFormat="1" applyFill="1" applyBorder="1" applyProtection="1">
      <alignment vertical="center"/>
      <protection locked="0"/>
    </xf>
    <xf numFmtId="178" fontId="0" fillId="18" borderId="27" xfId="0" applyNumberFormat="1" applyFill="1" applyBorder="1" applyProtection="1">
      <alignment vertical="center"/>
      <protection locked="0"/>
    </xf>
    <xf numFmtId="179" fontId="0" fillId="18" borderId="27" xfId="0" applyNumberFormat="1" applyFill="1" applyBorder="1" applyProtection="1">
      <alignment vertical="center"/>
      <protection locked="0"/>
    </xf>
    <xf numFmtId="179" fontId="0" fillId="18" borderId="27" xfId="0" applyNumberFormat="1" applyFill="1" applyBorder="1" applyAlignment="1" applyProtection="1">
      <alignment horizontal="center" vertical="center"/>
      <protection locked="0"/>
    </xf>
    <xf numFmtId="0" fontId="4" fillId="18" borderId="27" xfId="0" applyFont="1" applyFill="1" applyBorder="1" applyAlignment="1" applyProtection="1">
      <alignment horizontal="center" vertical="center"/>
      <protection locked="0"/>
    </xf>
    <xf numFmtId="38" fontId="0" fillId="18" borderId="27" xfId="1" applyFont="1" applyFill="1" applyBorder="1" applyAlignment="1" applyProtection="1">
      <alignment horizontal="center" vertical="center"/>
      <protection locked="0"/>
    </xf>
    <xf numFmtId="0" fontId="0" fillId="19" borderId="0" xfId="0" applyFill="1">
      <alignment vertical="center"/>
    </xf>
    <xf numFmtId="0" fontId="3" fillId="19" borderId="0" xfId="0" applyFont="1" applyFill="1" applyAlignment="1" applyProtection="1">
      <alignment horizontal="right" vertical="center"/>
      <protection locked="0"/>
    </xf>
    <xf numFmtId="0" fontId="3" fillId="19" borderId="25" xfId="0" applyFont="1" applyFill="1" applyBorder="1" applyAlignment="1" applyProtection="1">
      <alignment horizontal="center" vertical="center"/>
      <protection locked="0"/>
    </xf>
    <xf numFmtId="0" fontId="3" fillId="19" borderId="1" xfId="0" applyFont="1" applyFill="1" applyBorder="1" applyAlignment="1" applyProtection="1">
      <alignment horizontal="center" vertical="center"/>
      <protection locked="0"/>
    </xf>
    <xf numFmtId="0" fontId="3" fillId="19" borderId="0" xfId="0" applyFont="1" applyFill="1" applyAlignment="1" applyProtection="1">
      <alignment horizontal="center" vertical="center"/>
      <protection locked="0"/>
    </xf>
    <xf numFmtId="38" fontId="3" fillId="19" borderId="1" xfId="1" applyFont="1" applyFill="1" applyBorder="1" applyAlignment="1" applyProtection="1">
      <alignment vertical="center" shrinkToFit="1"/>
      <protection locked="0"/>
    </xf>
    <xf numFmtId="38" fontId="3" fillId="19" borderId="23" xfId="1" applyFont="1" applyFill="1" applyBorder="1" applyAlignment="1" applyProtection="1">
      <alignment vertical="center" shrinkToFit="1"/>
      <protection locked="0"/>
    </xf>
    <xf numFmtId="38" fontId="3" fillId="19" borderId="23" xfId="1" applyFont="1" applyFill="1" applyBorder="1" applyAlignment="1" applyProtection="1">
      <alignment vertical="center" shrinkToFit="1"/>
    </xf>
    <xf numFmtId="38" fontId="3" fillId="19" borderId="0" xfId="1" applyFont="1" applyFill="1" applyAlignment="1" applyProtection="1">
      <alignment horizontal="right" vertical="center"/>
      <protection locked="0"/>
    </xf>
    <xf numFmtId="38" fontId="0" fillId="18" borderId="40" xfId="1" applyFont="1" applyFill="1" applyBorder="1" applyAlignment="1" applyProtection="1">
      <alignment vertical="center" shrinkToFit="1"/>
      <protection locked="0"/>
    </xf>
    <xf numFmtId="38" fontId="0" fillId="18" borderId="43" xfId="1" applyFont="1" applyFill="1" applyBorder="1" applyAlignment="1" applyProtection="1">
      <alignment vertical="center" shrinkToFit="1"/>
      <protection locked="0"/>
    </xf>
    <xf numFmtId="38" fontId="0" fillId="18" borderId="63" xfId="1" applyFont="1" applyFill="1" applyBorder="1" applyAlignment="1" applyProtection="1">
      <alignment vertical="center" shrinkToFit="1"/>
      <protection locked="0"/>
    </xf>
    <xf numFmtId="38" fontId="0" fillId="18" borderId="40" xfId="1" applyFont="1" applyFill="1" applyBorder="1" applyAlignment="1" applyProtection="1">
      <alignment horizontal="left" vertical="center" shrinkToFit="1"/>
      <protection locked="0"/>
    </xf>
    <xf numFmtId="38" fontId="0" fillId="18" borderId="29" xfId="1" applyFont="1" applyFill="1" applyBorder="1" applyAlignment="1" applyProtection="1">
      <alignment horizontal="left" vertical="center" shrinkToFit="1"/>
      <protection locked="0"/>
    </xf>
    <xf numFmtId="0" fontId="0" fillId="17" borderId="40" xfId="0" applyFill="1" applyBorder="1" applyAlignment="1" applyProtection="1">
      <alignment horizontal="left" vertical="center"/>
      <protection locked="0"/>
    </xf>
    <xf numFmtId="0" fontId="0" fillId="17" borderId="43" xfId="0" applyFill="1" applyBorder="1" applyAlignment="1" applyProtection="1">
      <alignment horizontal="left" vertical="center"/>
      <protection locked="0"/>
    </xf>
    <xf numFmtId="0" fontId="0" fillId="17" borderId="46" xfId="0" applyFill="1" applyBorder="1" applyAlignment="1" applyProtection="1">
      <alignment horizontal="left" vertical="center"/>
      <protection locked="0"/>
    </xf>
    <xf numFmtId="0" fontId="21" fillId="18" borderId="40" xfId="0" applyFont="1" applyFill="1" applyBorder="1" applyProtection="1">
      <alignment vertical="center"/>
      <protection locked="0"/>
    </xf>
    <xf numFmtId="0" fontId="21" fillId="18" borderId="43" xfId="0" applyFont="1" applyFill="1" applyBorder="1" applyProtection="1">
      <alignment vertical="center"/>
      <protection locked="0"/>
    </xf>
    <xf numFmtId="0" fontId="21" fillId="18" borderId="46" xfId="0" applyFont="1" applyFill="1" applyBorder="1" applyProtection="1">
      <alignment vertical="center"/>
      <protection locked="0"/>
    </xf>
    <xf numFmtId="0" fontId="4" fillId="3" borderId="1" xfId="0" applyFont="1" applyFill="1" applyBorder="1" applyAlignment="1">
      <alignment vertical="center" wrapText="1"/>
    </xf>
    <xf numFmtId="38" fontId="0" fillId="6" borderId="71" xfId="1" applyFont="1" applyFill="1" applyBorder="1" applyAlignment="1" applyProtection="1">
      <alignment vertical="center" shrinkToFit="1"/>
    </xf>
    <xf numFmtId="38" fontId="0" fillId="6" borderId="72" xfId="1" applyFont="1" applyFill="1" applyBorder="1" applyAlignment="1" applyProtection="1">
      <alignment vertical="center" shrinkToFit="1"/>
    </xf>
    <xf numFmtId="38" fontId="0" fillId="6" borderId="73" xfId="1" applyFont="1" applyFill="1" applyBorder="1" applyAlignment="1" applyProtection="1">
      <alignment vertical="center" shrinkToFit="1"/>
    </xf>
    <xf numFmtId="185" fontId="0" fillId="6" borderId="71" xfId="1" applyNumberFormat="1" applyFont="1" applyFill="1" applyBorder="1">
      <alignment vertical="center"/>
    </xf>
    <xf numFmtId="185" fontId="0" fillId="6" borderId="72" xfId="1" applyNumberFormat="1" applyFont="1" applyFill="1" applyBorder="1">
      <alignment vertical="center"/>
    </xf>
    <xf numFmtId="185" fontId="0" fillId="6" borderId="73" xfId="1" applyNumberFormat="1" applyFont="1" applyFill="1" applyBorder="1">
      <alignment vertical="center"/>
    </xf>
    <xf numFmtId="190" fontId="0" fillId="5" borderId="5" xfId="1" applyNumberFormat="1" applyFont="1" applyFill="1" applyBorder="1" applyAlignment="1">
      <alignment vertical="center" shrinkToFit="1"/>
    </xf>
    <xf numFmtId="190" fontId="0" fillId="6" borderId="1" xfId="0" applyNumberFormat="1" applyFill="1" applyBorder="1" applyProtection="1">
      <alignment vertical="center"/>
    </xf>
    <xf numFmtId="0" fontId="0" fillId="8" borderId="0" xfId="0" applyFill="1" applyBorder="1" applyProtection="1">
      <alignment vertical="center"/>
    </xf>
    <xf numFmtId="0" fontId="4" fillId="8" borderId="0" xfId="0" applyFont="1" applyFill="1" applyBorder="1" applyProtection="1">
      <alignment vertical="center"/>
    </xf>
    <xf numFmtId="57" fontId="0" fillId="8" borderId="0" xfId="0" applyNumberFormat="1" applyFill="1" applyBorder="1" applyAlignment="1" applyProtection="1">
      <alignment horizontal="center" vertical="center"/>
    </xf>
    <xf numFmtId="189" fontId="4" fillId="2" borderId="0" xfId="0" applyNumberFormat="1" applyFont="1" applyFill="1" applyBorder="1" applyAlignment="1" applyProtection="1">
      <alignment horizontal="left" vertical="center" shrinkToFit="1"/>
    </xf>
    <xf numFmtId="0" fontId="0" fillId="0" borderId="0" xfId="0">
      <alignment vertical="center"/>
    </xf>
    <xf numFmtId="0" fontId="0" fillId="6" borderId="1" xfId="0" applyFill="1" applyBorder="1" applyProtection="1">
      <alignment vertical="center"/>
    </xf>
    <xf numFmtId="0" fontId="31" fillId="0" borderId="0" xfId="0" applyFont="1" applyProtection="1">
      <alignment vertical="center"/>
    </xf>
    <xf numFmtId="0" fontId="0" fillId="6" borderId="0" xfId="0" applyFill="1" applyBorder="1" applyAlignment="1" applyProtection="1">
      <alignment horizontal="center" vertical="center"/>
    </xf>
    <xf numFmtId="38" fontId="0" fillId="6" borderId="1" xfId="1" applyFont="1" applyFill="1" applyBorder="1" applyProtection="1">
      <alignment vertical="center"/>
    </xf>
    <xf numFmtId="0" fontId="0" fillId="3" borderId="26" xfId="0" applyFill="1" applyBorder="1" applyAlignment="1" applyProtection="1">
      <alignment horizontal="center" vertical="center"/>
    </xf>
    <xf numFmtId="0" fontId="11" fillId="3" borderId="5" xfId="0" applyFont="1" applyFill="1" applyBorder="1" applyAlignment="1" applyProtection="1">
      <alignment horizontal="center" vertical="center"/>
    </xf>
    <xf numFmtId="0" fontId="0" fillId="3" borderId="5" xfId="0" applyFill="1" applyBorder="1" applyAlignment="1" applyProtection="1">
      <alignment horizontal="center" vertical="center"/>
    </xf>
    <xf numFmtId="38" fontId="0" fillId="6" borderId="74" xfId="1" applyFont="1" applyFill="1" applyBorder="1" applyProtection="1">
      <alignment vertical="center"/>
    </xf>
    <xf numFmtId="0" fontId="0" fillId="3" borderId="74" xfId="0" applyFill="1" applyBorder="1" applyAlignment="1" applyProtection="1">
      <alignment vertical="center" shrinkToFit="1"/>
    </xf>
    <xf numFmtId="0" fontId="0" fillId="6" borderId="75" xfId="0" applyFill="1" applyBorder="1" applyProtection="1">
      <alignment vertical="center"/>
    </xf>
    <xf numFmtId="0" fontId="0" fillId="6" borderId="76" xfId="0" applyFill="1" applyBorder="1" applyProtection="1">
      <alignment vertical="center"/>
    </xf>
    <xf numFmtId="0" fontId="9" fillId="6" borderId="12" xfId="0" applyFont="1" applyFill="1" applyBorder="1" applyProtection="1">
      <alignment vertical="center"/>
    </xf>
    <xf numFmtId="0" fontId="0" fillId="0" borderId="78" xfId="0" applyFill="1" applyBorder="1" applyProtection="1">
      <alignment vertical="center"/>
    </xf>
    <xf numFmtId="0" fontId="31" fillId="0" borderId="78" xfId="0" quotePrefix="1" applyFont="1" applyFill="1" applyBorder="1" applyProtection="1">
      <alignment vertical="center"/>
    </xf>
    <xf numFmtId="0" fontId="0" fillId="0" borderId="77" xfId="0" applyFill="1" applyBorder="1" applyAlignment="1" applyProtection="1">
      <alignment horizontal="center" vertical="center"/>
    </xf>
    <xf numFmtId="0" fontId="0" fillId="0" borderId="79" xfId="0" applyFill="1" applyBorder="1" applyProtection="1">
      <alignment vertical="center"/>
    </xf>
    <xf numFmtId="0" fontId="18" fillId="0" borderId="77" xfId="0" applyFont="1" applyFill="1" applyBorder="1" applyAlignment="1" applyProtection="1">
      <alignment horizontal="center" vertical="center"/>
    </xf>
    <xf numFmtId="0" fontId="6" fillId="0" borderId="78" xfId="0" applyFont="1" applyFill="1" applyBorder="1" applyAlignment="1" applyProtection="1">
      <alignment horizontal="center" vertical="center"/>
    </xf>
    <xf numFmtId="0" fontId="0" fillId="0" borderId="77" xfId="0" applyFill="1" applyBorder="1" applyProtection="1">
      <alignment vertical="center"/>
    </xf>
    <xf numFmtId="0" fontId="9" fillId="0" borderId="78" xfId="0" applyFont="1" applyFill="1" applyBorder="1" applyAlignment="1" applyProtection="1">
      <alignment horizontal="center" vertical="center"/>
    </xf>
    <xf numFmtId="0" fontId="9" fillId="0" borderId="78" xfId="0" applyFont="1" applyFill="1" applyBorder="1" applyAlignment="1" applyProtection="1">
      <alignment horizontal="right" vertical="center"/>
    </xf>
    <xf numFmtId="0" fontId="0" fillId="6" borderId="81" xfId="0" applyFill="1" applyBorder="1" applyAlignment="1" applyProtection="1">
      <alignment horizontal="center" vertical="center"/>
    </xf>
    <xf numFmtId="0" fontId="0" fillId="6" borderId="81" xfId="0" applyFill="1" applyBorder="1" applyProtection="1">
      <alignment vertical="center"/>
    </xf>
    <xf numFmtId="38" fontId="4" fillId="6" borderId="81" xfId="0" applyNumberFormat="1" applyFont="1" applyFill="1" applyBorder="1" applyAlignment="1" applyProtection="1">
      <alignment horizontal="center" vertical="center"/>
    </xf>
    <xf numFmtId="0" fontId="4" fillId="6" borderId="81" xfId="0" applyFont="1" applyFill="1" applyBorder="1" applyProtection="1">
      <alignment vertical="center"/>
    </xf>
    <xf numFmtId="38" fontId="4" fillId="6" borderId="81" xfId="0" applyNumberFormat="1" applyFont="1" applyFill="1" applyBorder="1" applyAlignment="1" applyProtection="1">
      <alignment horizontal="right" vertical="center"/>
    </xf>
    <xf numFmtId="0" fontId="0" fillId="6" borderId="80" xfId="0" applyFill="1" applyBorder="1" applyAlignment="1" applyProtection="1">
      <alignment horizontal="center" vertical="center"/>
    </xf>
    <xf numFmtId="0" fontId="18" fillId="6" borderId="81" xfId="0" applyFont="1" applyFill="1" applyBorder="1" applyAlignment="1" applyProtection="1">
      <alignment horizontal="center" vertical="center"/>
    </xf>
    <xf numFmtId="0" fontId="18" fillId="6" borderId="80" xfId="0" applyFont="1" applyFill="1" applyBorder="1" applyAlignment="1" applyProtection="1">
      <alignment horizontal="center" vertical="center"/>
    </xf>
    <xf numFmtId="0" fontId="0" fillId="6" borderId="80" xfId="0" applyFill="1" applyBorder="1" applyProtection="1">
      <alignment vertical="center"/>
    </xf>
    <xf numFmtId="0" fontId="21" fillId="6" borderId="0" xfId="0" applyFont="1" applyFill="1" applyProtection="1">
      <alignment vertical="center"/>
    </xf>
    <xf numFmtId="191" fontId="0" fillId="20" borderId="27" xfId="0" applyNumberFormat="1" applyFill="1" applyBorder="1" applyProtection="1">
      <alignment vertical="center"/>
      <protection locked="0"/>
    </xf>
    <xf numFmtId="0" fontId="4" fillId="6" borderId="0" xfId="0" applyFont="1" applyFill="1" applyAlignment="1" applyProtection="1">
      <alignment horizontal="right" vertical="center" shrinkToFit="1"/>
    </xf>
    <xf numFmtId="192" fontId="0" fillId="16" borderId="1" xfId="0" applyNumberFormat="1" applyFill="1" applyBorder="1" applyProtection="1">
      <alignment vertical="center"/>
    </xf>
    <xf numFmtId="0" fontId="0" fillId="0" borderId="0" xfId="0">
      <alignment vertical="center"/>
    </xf>
    <xf numFmtId="0" fontId="0" fillId="0" borderId="57" xfId="0" applyBorder="1">
      <alignment vertical="center"/>
    </xf>
    <xf numFmtId="0" fontId="0" fillId="15" borderId="59" xfId="0" applyFill="1" applyBorder="1" applyAlignment="1">
      <alignment horizontal="justify" vertical="center" wrapText="1"/>
    </xf>
    <xf numFmtId="0" fontId="0" fillId="15" borderId="37" xfId="0" applyFill="1" applyBorder="1" applyAlignment="1">
      <alignment horizontal="justify" vertical="center" wrapText="1"/>
    </xf>
    <xf numFmtId="0" fontId="0" fillId="15" borderId="60" xfId="0" applyFill="1" applyBorder="1" applyAlignment="1">
      <alignment horizontal="justify" vertical="center" wrapText="1"/>
    </xf>
    <xf numFmtId="0" fontId="52" fillId="0" borderId="0" xfId="0" applyFont="1">
      <alignment vertical="center"/>
    </xf>
    <xf numFmtId="0" fontId="52" fillId="0" borderId="0" xfId="0" applyFont="1" applyBorder="1">
      <alignment vertical="center"/>
    </xf>
    <xf numFmtId="0" fontId="51" fillId="14" borderId="0" xfId="0" applyFont="1" applyFill="1" applyAlignment="1">
      <alignment horizontal="center" vertical="center"/>
    </xf>
    <xf numFmtId="0" fontId="0" fillId="0" borderId="0" xfId="0" applyAlignment="1">
      <alignment horizontal="left" vertical="center" indent="1"/>
    </xf>
    <xf numFmtId="0" fontId="0" fillId="0" borderId="57" xfId="0" applyBorder="1" applyAlignment="1">
      <alignment horizontal="left" vertical="center" indent="1"/>
    </xf>
    <xf numFmtId="0" fontId="50" fillId="0" borderId="0" xfId="0" applyFont="1" applyAlignment="1">
      <alignment vertical="center" wrapText="1"/>
    </xf>
    <xf numFmtId="0" fontId="0" fillId="0" borderId="0" xfId="0" applyAlignment="1">
      <alignment vertical="center" wrapText="1"/>
    </xf>
    <xf numFmtId="0" fontId="0" fillId="18" borderId="61" xfId="0" applyFill="1" applyBorder="1">
      <alignment vertical="center"/>
    </xf>
    <xf numFmtId="0" fontId="0" fillId="18" borderId="50" xfId="0" applyFill="1" applyBorder="1">
      <alignment vertical="center"/>
    </xf>
    <xf numFmtId="0" fontId="0" fillId="18" borderId="62" xfId="0" applyFill="1" applyBorder="1">
      <alignment vertical="center"/>
    </xf>
    <xf numFmtId="0" fontId="47" fillId="11" borderId="1" xfId="0" applyFont="1" applyFill="1" applyBorder="1" applyAlignment="1" applyProtection="1">
      <alignment horizontal="center" vertical="center" wrapText="1" shrinkToFit="1"/>
    </xf>
    <xf numFmtId="0" fontId="9" fillId="2" borderId="21" xfId="0" applyFont="1" applyFill="1" applyBorder="1" applyAlignment="1" applyProtection="1">
      <alignment horizontal="center" vertical="center" shrinkToFit="1"/>
    </xf>
    <xf numFmtId="0" fontId="5" fillId="13" borderId="45" xfId="0" applyFont="1" applyFill="1" applyBorder="1" applyAlignment="1" applyProtection="1">
      <alignment horizontal="right" vertical="center"/>
    </xf>
    <xf numFmtId="0" fontId="5" fillId="13" borderId="35" xfId="0" applyFont="1" applyFill="1" applyBorder="1" applyAlignment="1" applyProtection="1">
      <alignment horizontal="right" vertical="center"/>
    </xf>
    <xf numFmtId="0" fontId="15" fillId="6" borderId="5" xfId="0" applyFont="1" applyFill="1" applyBorder="1" applyAlignment="1" applyProtection="1">
      <alignment horizontal="center" vertical="center"/>
    </xf>
    <xf numFmtId="0" fontId="15" fillId="6" borderId="23" xfId="0" applyFont="1" applyFill="1" applyBorder="1" applyAlignment="1" applyProtection="1">
      <alignment horizontal="center" vertical="center"/>
    </xf>
    <xf numFmtId="0" fontId="5" fillId="12" borderId="39" xfId="0" applyFont="1" applyFill="1" applyBorder="1" applyAlignment="1" applyProtection="1">
      <alignment horizontal="right" vertical="center"/>
    </xf>
    <xf numFmtId="0" fontId="5" fillId="12" borderId="41" xfId="0" applyFont="1" applyFill="1" applyBorder="1" applyAlignment="1" applyProtection="1">
      <alignment horizontal="right" vertical="center"/>
    </xf>
    <xf numFmtId="0" fontId="12" fillId="0" borderId="0" xfId="0" applyFont="1" applyBorder="1" applyAlignment="1" applyProtection="1">
      <alignment vertical="center" wrapText="1"/>
    </xf>
    <xf numFmtId="0" fontId="12" fillId="0" borderId="12" xfId="0" applyFont="1" applyBorder="1" applyAlignment="1" applyProtection="1">
      <alignment vertical="center" wrapText="1"/>
    </xf>
    <xf numFmtId="180" fontId="13" fillId="2" borderId="0" xfId="1" applyNumberFormat="1" applyFont="1" applyFill="1" applyBorder="1" applyAlignment="1" applyProtection="1">
      <alignment horizontal="right" vertical="center" shrinkToFit="1"/>
    </xf>
    <xf numFmtId="0" fontId="19" fillId="9" borderId="42" xfId="0" applyFont="1" applyFill="1" applyBorder="1" applyAlignment="1" applyProtection="1">
      <alignment horizontal="right" vertical="center"/>
    </xf>
    <xf numFmtId="0" fontId="19" fillId="9" borderId="44" xfId="0" applyFont="1" applyFill="1" applyBorder="1" applyAlignment="1" applyProtection="1">
      <alignment horizontal="right" vertical="center"/>
    </xf>
    <xf numFmtId="0" fontId="27" fillId="0" borderId="42" xfId="0" applyFont="1" applyBorder="1" applyAlignment="1" applyProtection="1">
      <alignment horizontal="left" vertical="center" indent="1" shrinkToFit="1"/>
    </xf>
    <xf numFmtId="0" fontId="27" fillId="0" borderId="50" xfId="0" applyFont="1" applyBorder="1" applyAlignment="1" applyProtection="1">
      <alignment horizontal="left" vertical="center" indent="1" shrinkToFit="1"/>
    </xf>
    <xf numFmtId="0" fontId="27" fillId="0" borderId="44" xfId="0" applyFont="1" applyBorder="1" applyAlignment="1" applyProtection="1">
      <alignment horizontal="left" vertical="center" indent="1" shrinkToFit="1"/>
    </xf>
    <xf numFmtId="0" fontId="27" fillId="0" borderId="45" xfId="0" applyFont="1" applyBorder="1" applyAlignment="1" applyProtection="1">
      <alignment horizontal="left" vertical="center" indent="1" shrinkToFit="1"/>
    </xf>
    <xf numFmtId="0" fontId="27" fillId="0" borderId="24" xfId="0" applyFont="1" applyBorder="1" applyAlignment="1" applyProtection="1">
      <alignment horizontal="left" vertical="center" indent="1" shrinkToFit="1"/>
    </xf>
    <xf numFmtId="0" fontId="27" fillId="0" borderId="35" xfId="0" applyFont="1" applyBorder="1" applyAlignment="1" applyProtection="1">
      <alignment horizontal="left" vertical="center" indent="1" shrinkToFit="1"/>
    </xf>
    <xf numFmtId="0" fontId="15" fillId="6" borderId="14" xfId="0" applyFont="1" applyFill="1" applyBorder="1" applyAlignment="1" applyProtection="1">
      <alignment horizontal="center" vertical="center"/>
    </xf>
    <xf numFmtId="0" fontId="5" fillId="12" borderId="49" xfId="0" applyFont="1" applyFill="1" applyBorder="1" applyAlignment="1" applyProtection="1">
      <alignment horizontal="right" vertical="center"/>
    </xf>
    <xf numFmtId="0" fontId="19" fillId="9" borderId="50" xfId="0" applyFont="1" applyFill="1" applyBorder="1" applyAlignment="1" applyProtection="1">
      <alignment horizontal="right" vertical="center"/>
    </xf>
    <xf numFmtId="0" fontId="5" fillId="13" borderId="24" xfId="0" applyFont="1" applyFill="1" applyBorder="1" applyAlignment="1" applyProtection="1">
      <alignment horizontal="right" vertical="center"/>
    </xf>
    <xf numFmtId="0" fontId="15" fillId="6" borderId="1" xfId="0" applyFont="1" applyFill="1" applyBorder="1" applyAlignment="1" applyProtection="1">
      <alignment horizontal="center" vertical="center"/>
    </xf>
    <xf numFmtId="0" fontId="5" fillId="12" borderId="36" xfId="0" applyFont="1" applyFill="1" applyBorder="1" applyAlignment="1" applyProtection="1">
      <alignment horizontal="right" vertical="center"/>
    </xf>
    <xf numFmtId="0" fontId="19" fillId="9" borderId="37" xfId="0" applyFont="1" applyFill="1" applyBorder="1" applyAlignment="1" applyProtection="1">
      <alignment horizontal="right" vertical="center"/>
    </xf>
    <xf numFmtId="0" fontId="5" fillId="13" borderId="38" xfId="0" applyFont="1" applyFill="1" applyBorder="1" applyAlignment="1" applyProtection="1">
      <alignment horizontal="right" vertical="center"/>
    </xf>
    <xf numFmtId="0" fontId="5" fillId="13" borderId="45" xfId="0" applyFont="1" applyFill="1" applyBorder="1" applyAlignment="1" applyProtection="1">
      <alignment horizontal="center" vertical="center"/>
    </xf>
    <xf numFmtId="0" fontId="5" fillId="13" borderId="24" xfId="0" applyFont="1" applyFill="1" applyBorder="1" applyAlignment="1" applyProtection="1">
      <alignment horizontal="center" vertical="center"/>
    </xf>
    <xf numFmtId="0" fontId="5" fillId="13" borderId="35" xfId="0" applyFont="1" applyFill="1" applyBorder="1" applyAlignment="1" applyProtection="1">
      <alignment horizontal="center" vertical="center"/>
    </xf>
    <xf numFmtId="0" fontId="5" fillId="12" borderId="39" xfId="0" applyFont="1" applyFill="1" applyBorder="1" applyAlignment="1" applyProtection="1">
      <alignment horizontal="center" vertical="center"/>
    </xf>
    <xf numFmtId="0" fontId="5" fillId="12" borderId="49" xfId="0" applyFont="1" applyFill="1" applyBorder="1" applyAlignment="1" applyProtection="1">
      <alignment horizontal="center" vertical="center"/>
    </xf>
    <xf numFmtId="0" fontId="5" fillId="12" borderId="41" xfId="0" applyFont="1" applyFill="1" applyBorder="1" applyAlignment="1" applyProtection="1">
      <alignment horizontal="center" vertical="center"/>
    </xf>
    <xf numFmtId="0" fontId="19" fillId="9" borderId="42" xfId="0" applyFont="1" applyFill="1" applyBorder="1" applyAlignment="1" applyProtection="1">
      <alignment horizontal="center" vertical="center"/>
    </xf>
    <xf numFmtId="0" fontId="19" fillId="9" borderId="50" xfId="0" applyFont="1" applyFill="1" applyBorder="1" applyAlignment="1" applyProtection="1">
      <alignment horizontal="center" vertical="center"/>
    </xf>
    <xf numFmtId="0" fontId="19" fillId="9" borderId="44" xfId="0" applyFont="1" applyFill="1" applyBorder="1" applyAlignment="1" applyProtection="1">
      <alignment horizontal="center" vertical="center"/>
    </xf>
    <xf numFmtId="0" fontId="15" fillId="0" borderId="5" xfId="0" applyFont="1" applyBorder="1" applyAlignment="1" applyProtection="1">
      <alignment horizontal="center" vertical="center"/>
    </xf>
    <xf numFmtId="0" fontId="15" fillId="0" borderId="14" xfId="0" applyFont="1" applyBorder="1" applyAlignment="1" applyProtection="1">
      <alignment horizontal="center" vertical="center"/>
    </xf>
    <xf numFmtId="0" fontId="15" fillId="0" borderId="23" xfId="0" applyFont="1" applyBorder="1" applyAlignment="1" applyProtection="1">
      <alignment horizontal="center" vertical="center"/>
    </xf>
    <xf numFmtId="0" fontId="27" fillId="0" borderId="39" xfId="0" applyFont="1" applyBorder="1" applyAlignment="1" applyProtection="1">
      <alignment horizontal="left" vertical="center" indent="1" shrinkToFit="1"/>
    </xf>
    <xf numFmtId="0" fontId="27" fillId="0" borderId="49" xfId="0" applyFont="1" applyBorder="1" applyAlignment="1" applyProtection="1">
      <alignment horizontal="left" vertical="center" indent="1" shrinkToFit="1"/>
    </xf>
    <xf numFmtId="0" fontId="27" fillId="0" borderId="41" xfId="0" applyFont="1" applyBorder="1" applyAlignment="1" applyProtection="1">
      <alignment horizontal="left" vertical="center" indent="1" shrinkToFit="1"/>
    </xf>
    <xf numFmtId="38" fontId="4" fillId="0" borderId="0" xfId="0" applyNumberFormat="1" applyFont="1" applyBorder="1" applyAlignment="1" applyProtection="1">
      <alignment vertical="center" shrinkToFit="1"/>
    </xf>
    <xf numFmtId="0" fontId="41" fillId="0" borderId="0" xfId="0" applyFont="1" applyBorder="1" applyAlignment="1" applyProtection="1">
      <alignment vertical="center" shrinkToFit="1"/>
    </xf>
    <xf numFmtId="0" fontId="11" fillId="4" borderId="34" xfId="0" applyFont="1" applyFill="1" applyBorder="1" applyAlignment="1" applyProtection="1">
      <alignment vertical="center" shrinkToFit="1"/>
    </xf>
    <xf numFmtId="38" fontId="49" fillId="4" borderId="34" xfId="0" applyNumberFormat="1" applyFont="1" applyFill="1" applyBorder="1" applyProtection="1">
      <alignment vertical="center"/>
    </xf>
    <xf numFmtId="38" fontId="25" fillId="4" borderId="34" xfId="0" applyNumberFormat="1" applyFont="1" applyFill="1" applyBorder="1" applyAlignment="1" applyProtection="1">
      <alignment horizontal="left" vertical="center"/>
    </xf>
    <xf numFmtId="0" fontId="17" fillId="0" borderId="8" xfId="0" applyFont="1" applyFill="1" applyBorder="1" applyAlignment="1" applyProtection="1">
      <alignment vertical="top"/>
    </xf>
    <xf numFmtId="0" fontId="10" fillId="7" borderId="2" xfId="0" applyFont="1" applyFill="1" applyBorder="1" applyAlignment="1" applyProtection="1">
      <alignment horizontal="center" vertical="center"/>
    </xf>
    <xf numFmtId="0" fontId="10" fillId="7" borderId="3" xfId="0" applyFont="1" applyFill="1" applyBorder="1" applyAlignment="1" applyProtection="1">
      <alignment horizontal="center" vertical="center"/>
    </xf>
    <xf numFmtId="0" fontId="10" fillId="7" borderId="4" xfId="0" applyFont="1" applyFill="1" applyBorder="1" applyAlignment="1" applyProtection="1">
      <alignment horizontal="center" vertical="center"/>
    </xf>
    <xf numFmtId="0" fontId="14" fillId="0" borderId="0" xfId="0" applyFont="1" applyAlignment="1" applyProtection="1">
      <alignment vertical="top" wrapText="1"/>
    </xf>
    <xf numFmtId="0" fontId="23" fillId="6" borderId="25" xfId="0" applyFont="1" applyFill="1" applyBorder="1" applyAlignment="1" applyProtection="1">
      <alignment horizontal="center" vertical="center" wrapText="1"/>
    </xf>
    <xf numFmtId="0" fontId="23" fillId="6" borderId="26" xfId="0" applyFont="1" applyFill="1" applyBorder="1" applyAlignment="1" applyProtection="1">
      <alignment horizontal="center" vertical="center" wrapText="1"/>
    </xf>
    <xf numFmtId="0" fontId="22" fillId="6" borderId="25" xfId="0" applyFont="1" applyFill="1" applyBorder="1" applyAlignment="1" applyProtection="1">
      <alignment horizontal="center" vertical="center"/>
    </xf>
    <xf numFmtId="0" fontId="22" fillId="6" borderId="26" xfId="0" applyFont="1" applyFill="1" applyBorder="1" applyAlignment="1" applyProtection="1">
      <alignment horizontal="center" vertical="center"/>
    </xf>
    <xf numFmtId="0" fontId="24" fillId="11" borderId="1" xfId="0" applyFont="1" applyFill="1" applyBorder="1" applyAlignment="1" applyProtection="1">
      <alignment horizontal="center" vertical="center" shrinkToFit="1"/>
    </xf>
    <xf numFmtId="0" fontId="4" fillId="0" borderId="1" xfId="0" applyFont="1" applyFill="1" applyBorder="1" applyAlignment="1" applyProtection="1">
      <alignment horizontal="center" vertical="center" wrapText="1"/>
    </xf>
    <xf numFmtId="180" fontId="9" fillId="2" borderId="0" xfId="1" applyNumberFormat="1" applyFont="1" applyFill="1" applyBorder="1" applyAlignment="1" applyProtection="1">
      <alignment horizontal="right" vertical="center" shrinkToFit="1"/>
    </xf>
    <xf numFmtId="0" fontId="9" fillId="2" borderId="0" xfId="0" applyFont="1" applyFill="1" applyBorder="1" applyAlignment="1" applyProtection="1">
      <alignment horizontal="center" vertical="center" shrinkToFit="1"/>
    </xf>
    <xf numFmtId="0" fontId="9" fillId="0" borderId="12" xfId="0" applyFont="1" applyFill="1" applyBorder="1" applyAlignment="1" applyProtection="1">
      <alignment horizontal="left" vertical="center" shrinkToFit="1"/>
    </xf>
    <xf numFmtId="0" fontId="9" fillId="0" borderId="13" xfId="0" applyFont="1" applyFill="1" applyBorder="1" applyAlignment="1" applyProtection="1">
      <alignment horizontal="left" vertical="center" shrinkToFit="1"/>
    </xf>
    <xf numFmtId="0" fontId="12" fillId="0" borderId="0" xfId="0" applyFont="1" applyAlignment="1" applyProtection="1">
      <alignment vertical="center" wrapText="1"/>
    </xf>
    <xf numFmtId="0" fontId="0" fillId="3" borderId="5" xfId="0" applyFill="1" applyBorder="1" applyAlignment="1" applyProtection="1">
      <alignment horizontal="center" vertical="center" shrinkToFit="1"/>
    </xf>
    <xf numFmtId="0" fontId="0" fillId="3" borderId="14" xfId="0" applyFill="1" applyBorder="1" applyAlignment="1" applyProtection="1">
      <alignment horizontal="center" vertical="center" shrinkToFit="1"/>
    </xf>
    <xf numFmtId="0" fontId="0" fillId="3" borderId="64" xfId="0" applyFill="1" applyBorder="1" applyAlignment="1" applyProtection="1">
      <alignment horizontal="center" vertical="center" shrinkToFit="1"/>
    </xf>
    <xf numFmtId="38" fontId="0" fillId="3" borderId="65" xfId="1" applyFont="1" applyFill="1" applyBorder="1" applyAlignment="1" applyProtection="1">
      <alignment horizontal="center" vertical="center" shrinkToFit="1"/>
    </xf>
    <xf numFmtId="38" fontId="0" fillId="3" borderId="14" xfId="1" applyFont="1" applyFill="1" applyBorder="1" applyAlignment="1" applyProtection="1">
      <alignment horizontal="center" vertical="center" shrinkToFit="1"/>
    </xf>
    <xf numFmtId="38" fontId="0" fillId="3" borderId="23" xfId="1" applyFont="1" applyFill="1" applyBorder="1" applyAlignment="1" applyProtection="1">
      <alignment horizontal="center" vertical="center" shrinkToFit="1"/>
    </xf>
    <xf numFmtId="0" fontId="42" fillId="6" borderId="33" xfId="0" applyFont="1" applyFill="1" applyBorder="1" applyAlignment="1">
      <alignment vertical="center" shrinkToFit="1"/>
    </xf>
    <xf numFmtId="0" fontId="42" fillId="6" borderId="6" xfId="0" applyFont="1" applyFill="1" applyBorder="1" applyAlignment="1">
      <alignment vertical="center" shrinkToFit="1"/>
    </xf>
    <xf numFmtId="0" fontId="0" fillId="3" borderId="1" xfId="0" applyFill="1" applyBorder="1" applyAlignment="1" applyProtection="1">
      <alignment horizontal="center" vertical="center"/>
    </xf>
    <xf numFmtId="0" fontId="0" fillId="6" borderId="1" xfId="0" quotePrefix="1" applyFill="1" applyBorder="1" applyProtection="1">
      <alignment vertical="center"/>
    </xf>
    <xf numFmtId="0" fontId="0" fillId="6" borderId="1" xfId="0" quotePrefix="1" applyFont="1" applyFill="1" applyBorder="1">
      <alignment vertical="center"/>
    </xf>
    <xf numFmtId="0" fontId="0" fillId="6" borderId="1" xfId="0" quotePrefix="1" applyFill="1" applyBorder="1">
      <alignment vertical="center"/>
    </xf>
    <xf numFmtId="0" fontId="0" fillId="6" borderId="1" xfId="0" applyFill="1" applyBorder="1" applyProtection="1">
      <alignment vertical="center"/>
    </xf>
  </cellXfs>
  <cellStyles count="3">
    <cellStyle name="ハイパーリンク" xfId="2" builtinId="8"/>
    <cellStyle name="桁区切り" xfId="1" builtinId="6"/>
    <cellStyle name="標準" xfId="0" builtinId="0"/>
  </cellStyles>
  <dxfs count="1">
    <dxf>
      <font>
        <strike val="0"/>
        <u/>
        <color auto="1"/>
      </font>
    </dxf>
  </dxfs>
  <tableStyles count="0" defaultTableStyle="TableStyleMedium2" defaultPivotStyle="PivotStyleLight16"/>
  <colors>
    <mruColors>
      <color rgb="FFFFD85D"/>
      <color rgb="FF0894EA"/>
      <color rgb="FF00B3F2"/>
      <color rgb="FF25C6FF"/>
      <color rgb="FFFFD44B"/>
      <color rgb="FFFFFFEB"/>
      <color rgb="FFFFFFCC"/>
      <color rgb="FFFEF2E8"/>
      <color rgb="FFE5F8FF"/>
      <color rgb="FFFFE1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Lines="4" dropStyle="combo" dx="16" fmlaLink="表!$B$11" fmlaRange="表!$A$2:$A$5" noThreeD="1" sel="1" val="0"/>
</file>

<file path=xl/ctrlProps/ctrlProp2.xml><?xml version="1.0" encoding="utf-8"?>
<formControlPr xmlns="http://schemas.microsoft.com/office/spreadsheetml/2009/9/main" objectType="Drop" dropLines="4" dropStyle="combo" dx="16" fmlaLink="表!$B$12" fmlaRange="表!$A$2:$A$5" noThreeD="1" sel="1" val="0"/>
</file>

<file path=xl/ctrlProps/ctrlProp3.xml><?xml version="1.0" encoding="utf-8"?>
<formControlPr xmlns="http://schemas.microsoft.com/office/spreadsheetml/2009/9/main" objectType="Drop" dropLines="4" dropStyle="combo" dx="16" fmlaLink="表!$B$13" fmlaRange="表!$A$2:$A$5" noThreeD="1" sel="1" val="0"/>
</file>

<file path=xl/ctrlProps/ctrlProp4.xml><?xml version="1.0" encoding="utf-8"?>
<formControlPr xmlns="http://schemas.microsoft.com/office/spreadsheetml/2009/9/main" objectType="Drop" dropLines="4" dropStyle="combo" dx="16" fmlaLink="表!$B$14" fmlaRange="表!$A$2:$A$5" noThreeD="1" sel="1" val="0"/>
</file>

<file path=xl/ctrlProps/ctrlProp5.xml><?xml version="1.0" encoding="utf-8"?>
<formControlPr xmlns="http://schemas.microsoft.com/office/spreadsheetml/2009/9/main" objectType="Drop" dropLines="4" dropStyle="combo" dx="16" fmlaLink="表!$B$15" fmlaRange="表!$A$2:$A$5" noThreeD="1" sel="1" val="0"/>
</file>

<file path=xl/ctrlProps/ctrlProp6.xml><?xml version="1.0" encoding="utf-8"?>
<formControlPr xmlns="http://schemas.microsoft.com/office/spreadsheetml/2009/9/main" objectType="Drop" dropLines="4" dropStyle="combo" dx="16" fmlaLink="表!$B$16" fmlaRange="表!$A$2:$A$5" noThreeD="1" sel="1" val="0"/>
</file>

<file path=xl/ctrlProps/ctrlProp7.xml><?xml version="1.0" encoding="utf-8"?>
<formControlPr xmlns="http://schemas.microsoft.com/office/spreadsheetml/2009/9/main" objectType="CheckBox" fmlaLink="表!$C$11" noThreeD="1"/>
</file>

<file path=xl/ctrlProps/ctrlProp8.xml><?xml version="1.0" encoding="utf-8"?>
<formControlPr xmlns="http://schemas.microsoft.com/office/spreadsheetml/2009/9/main" objectType="CheckBox" fmlaLink="表!$C$12" lockText="1" noThreeD="1"/>
</file>

<file path=xl/ctrlProps/ctrlProp9.xml><?xml version="1.0" encoding="utf-8"?>
<formControlPr xmlns="http://schemas.microsoft.com/office/spreadsheetml/2009/9/main" objectType="CheckBox" fmlaLink="表!$C$13" lockText="1" noThreeD="1"/>
</file>

<file path=xl/ctrlProps/ctrlProp10.xml><?xml version="1.0" encoding="utf-8"?>
<formControlPr xmlns="http://schemas.microsoft.com/office/spreadsheetml/2009/9/main" objectType="CheckBox" fmlaLink="表!$C$14" lockText="1" noThreeD="1"/>
</file>

<file path=xl/ctrlProps/ctrlProp11.xml><?xml version="1.0" encoding="utf-8"?>
<formControlPr xmlns="http://schemas.microsoft.com/office/spreadsheetml/2009/9/main" objectType="CheckBox" fmlaLink="表!$C$15" lockText="1" noThreeD="1"/>
</file>

<file path=xl/ctrlProps/ctrlProp12.xml><?xml version="1.0" encoding="utf-8"?>
<formControlPr xmlns="http://schemas.microsoft.com/office/spreadsheetml/2009/9/main" objectType="CheckBox" fmlaLink="表!$C$16" lockText="1" noThreeD="1"/>
</file>

<file path=xl/ctrlProps/ctrlProp13.xml><?xml version="1.0" encoding="utf-8"?>
<formControlPr xmlns="http://schemas.microsoft.com/office/spreadsheetml/2009/9/main" objectType="CheckBox" fmlaLink="$E$53" noThreeD="1"/>
</file>

<file path=xl/ctrlProps/ctrlProp14.xml><?xml version="1.0" encoding="utf-8"?>
<formControlPr xmlns="http://schemas.microsoft.com/office/spreadsheetml/2009/9/main" objectType="CheckBox" fmlaLink="$E$54" noThreeD="1"/>
</file>

<file path=xl/ctrlProps/ctrlProp15.xml><?xml version="1.0" encoding="utf-8"?>
<formControlPr xmlns="http://schemas.microsoft.com/office/spreadsheetml/2009/9/main" objectType="CheckBox" fmlaLink="$E$55" noThreeD="1"/>
</file>

<file path=xl/ctrlProps/ctrlProp16.xml><?xml version="1.0" encoding="utf-8"?>
<formControlPr xmlns="http://schemas.microsoft.com/office/spreadsheetml/2009/9/main" objectType="CheckBox" fmlaLink="$E$56" noThreeD="1"/>
</file>

<file path=xl/ctrlProps/ctrlProp17.xml><?xml version="1.0" encoding="utf-8"?>
<formControlPr xmlns="http://schemas.microsoft.com/office/spreadsheetml/2009/9/main" objectType="CheckBox" fmlaLink="$E$57" noThreeD="1"/>
</file>

<file path=xl/ctrlProps/ctrlProp18.xml><?xml version="1.0" encoding="utf-8"?>
<formControlPr xmlns="http://schemas.microsoft.com/office/spreadsheetml/2009/9/main" objectType="CheckBox" fmlaLink="$E$58" noThreeD="1"/>
</file>

<file path=xl/ctrlProps/ctrlProp19.xml><?xml version="1.0" encoding="utf-8"?>
<formControlPr xmlns="http://schemas.microsoft.com/office/spreadsheetml/2009/9/main" objectType="CheckBox" fmlaLink="表!$T$14" lockText="1" noThreeD="1"/>
</file>

<file path=xl/ctrlProps/ctrlProp20.xml><?xml version="1.0" encoding="utf-8"?>
<formControlPr xmlns="http://schemas.microsoft.com/office/spreadsheetml/2009/9/main" objectType="CheckBox" fmlaLink="表!$T$15" lockText="1" noThreeD="1"/>
</file>

<file path=xl/ctrlProps/ctrlProp21.xml><?xml version="1.0" encoding="utf-8"?>
<formControlPr xmlns="http://schemas.microsoft.com/office/spreadsheetml/2009/9/main" objectType="CheckBox" fmlaLink="表!$T$12" lockText="1" noThreeD="1"/>
</file>

<file path=xl/ctrlProps/ctrlProp22.xml><?xml version="1.0" encoding="utf-8"?>
<formControlPr xmlns="http://schemas.microsoft.com/office/spreadsheetml/2009/9/main" objectType="CheckBox" fmlaLink="表!$T$13" lockText="1" noThreeD="1"/>
</file>

<file path=xl/ctrlProps/ctrlProp23.xml><?xml version="1.0" encoding="utf-8"?>
<formControlPr xmlns="http://schemas.microsoft.com/office/spreadsheetml/2009/9/main" objectType="CheckBox" fmlaLink="表!$T$16" lockText="1" noThreeD="1"/>
</file>

<file path=xl/ctrlProps/ctrlProp24.xml><?xml version="1.0" encoding="utf-8"?>
<formControlPr xmlns="http://schemas.microsoft.com/office/spreadsheetml/2009/9/main" objectType="CheckBox" fmlaLink="表!$T$11" noThreeD="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40</xdr:col>
      <xdr:colOff>99060</xdr:colOff>
      <xdr:row>3</xdr:row>
      <xdr:rowOff>65405</xdr:rowOff>
    </xdr:from>
    <xdr:to>
      <xdr:col>80</xdr:col>
      <xdr:colOff>48894</xdr:colOff>
      <xdr:row>16</xdr:row>
      <xdr:rowOff>632460</xdr:rowOff>
    </xdr:to>
    <xdr:sp macro="" textlink="">
      <xdr:nvSpPr>
        <xdr:cNvPr id="7" name="角丸四角形 6">
          <a:extLst>
            <a:ext uri="{FF2B5EF4-FFF2-40B4-BE49-F238E27FC236}">
              <a16:creationId xmlns:a16="http://schemas.microsoft.com/office/drawing/2014/main" id="{00000000-0008-0000-0000-000007000000}"/>
            </a:ext>
          </a:extLst>
        </xdr:cNvPr>
        <xdr:cNvSpPr/>
      </xdr:nvSpPr>
      <xdr:spPr>
        <a:xfrm>
          <a:off x="5890260" y="720725"/>
          <a:ext cx="5741034" cy="4582795"/>
        </a:xfrm>
        <a:prstGeom prst="roundRect">
          <a:avLst>
            <a:gd name="adj" fmla="val 2032"/>
          </a:avLst>
        </a:prstGeom>
        <a:solidFill>
          <a:srgbClr val="FEF2E8"/>
        </a:solidFill>
        <a:ln w="25400" cap="flat" cmpd="sng" algn="ctr">
          <a:solidFill>
            <a:schemeClr val="accent6"/>
          </a:solidFill>
          <a:prstDash val="solid"/>
        </a:ln>
        <a:effectLst/>
      </xdr:spPr>
      <xdr:txBody>
        <a:bodyPr vertOverflow="clip" lIns="72000" tIns="36000" rIns="72000" bIns="36000" spcCol="72000" rtlCol="0" anchor="ctr" anchorCtr="0"/>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ＭＳ Ｐゴシック" pitchFamily="50" charset="-128"/>
              <a:ea typeface="ＭＳ Ｐゴシック" pitchFamily="50" charset="-128"/>
              <a:cs typeface="+mn-cs"/>
            </a:rPr>
            <a:t>※このエクセルで試算した保険料額は、実際の保険料額と異なることがあります。差異について、本市では責任を負いかねますので、御了承ください。</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ja-JP" altLang="en-US" sz="110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rPr>
            <a:t>※次のいずれかの項目に該当する場合は、このシートでは正しく計算できません。</a:t>
          </a:r>
          <a:r>
            <a:rPr kumimoji="0" lang="ja-JP" altLang="en-US" sz="110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rPr>
            <a:t>お手数ですが、お住いの区の区役所保険年金課へお問い合せください。</a:t>
          </a:r>
          <a:endParaRPr kumimoji="0" lang="en-US" altLang="ja-JP" sz="110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rPr>
            <a:t>　（１）</a:t>
          </a:r>
          <a:r>
            <a:rPr lang="ja-JP" altLang="ja-JP" sz="1100" b="0" i="0" u="none" spc="0" baseline="0">
              <a:effectLst/>
              <a:latin typeface="+mn-lt"/>
              <a:ea typeface="+mn-ea"/>
              <a:cs typeface="+mn-cs"/>
            </a:rPr>
            <a:t>年度途中に加入者の所得や加入人数</a:t>
          </a:r>
          <a:r>
            <a:rPr lang="ja-JP" altLang="ja-JP" sz="1100" b="0" i="0" spc="0" baseline="0">
              <a:effectLst/>
              <a:latin typeface="+mn-lt"/>
              <a:ea typeface="+mn-ea"/>
              <a:cs typeface="+mn-cs"/>
            </a:rPr>
            <a:t>が変わる場合</a:t>
          </a:r>
          <a:endParaRPr kumimoji="0" lang="ja-JP" altLang="en-US" sz="110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rPr>
            <a:t>　（２）年度途中に加入者が40歳に到達し、介護保険第２号被保険者となる場合</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rPr>
            <a:t>　（３）年度途中に加入者が65歳に到達し、介護保険第２号被保険者でなくなる(介護保険第１</a:t>
          </a:r>
          <a:endParaRPr kumimoji="0" lang="en-US" altLang="ja-JP" sz="110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rPr>
            <a:t>　　　号被保険者となる)場合</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rPr>
            <a:t>　（４）年度途中に加入者が後期高齢者医療制度に移行し、残った国民健康保険の加入者が</a:t>
          </a:r>
          <a:endParaRPr kumimoji="0" lang="en-US" altLang="ja-JP" sz="110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rPr>
            <a:t>　　　１人となる場合（後期高齢者医療制度へ移行してから８年を経過する月までを含む）</a:t>
          </a:r>
          <a:endParaRPr kumimoji="0" lang="en-US" altLang="ja-JP" sz="110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mn-ea"/>
              <a:cs typeface="+mn-cs"/>
            </a:rPr>
            <a:t>　（５）世帯内に特定同一世帯所属者、未就学児、産前産後期間の保険料の軽減を受ける者</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　　　がいる場合</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mn-ea"/>
              <a:cs typeface="+mn-cs"/>
            </a:rPr>
            <a:t>　（６）年金収入があり、その方が令和７年１月２日以後に６５歳の誕生日を迎えた場合</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mn-ea"/>
              <a:cs typeface="+mn-cs"/>
            </a:rPr>
            <a:t>　（７）令和７年１月１日時点で６５歳未満の世帯主が国保に加入しない場合で、年金収入が</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mn-ea"/>
              <a:cs typeface="+mn-cs"/>
            </a:rPr>
            <a:t>　　　ある場合</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mn-ea"/>
              <a:cs typeface="+mn-cs"/>
            </a:rPr>
            <a:t>　（８）所得金額調整控除がある場合や、給与所得の特定支出控除がある場合等</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mn-ea"/>
              <a:cs typeface="+mn-cs"/>
            </a:rPr>
            <a:t>　（９）専従者給与がある場合、または専従者控除を必要経費に算入している場合</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mn-ea"/>
              <a:cs typeface="+mn-cs"/>
            </a:rPr>
            <a:t>　（</a:t>
          </a:r>
          <a:r>
            <a:rPr kumimoji="0" lang="en-US" altLang="ja-JP" sz="1100" b="0" i="0" u="none" strike="noStrike" kern="0" cap="none" spc="0" normalizeH="0" baseline="0" noProof="0">
              <a:ln>
                <a:noFill/>
              </a:ln>
              <a:solidFill>
                <a:schemeClr val="tx1"/>
              </a:solidFill>
              <a:effectLst/>
              <a:uLnTx/>
              <a:uFillTx/>
              <a:latin typeface="ＭＳ Ｐゴシック" pitchFamily="50" charset="-128"/>
              <a:ea typeface="+mn-ea"/>
              <a:cs typeface="+mn-cs"/>
            </a:rPr>
            <a:t>10</a:t>
          </a: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mn-ea"/>
              <a:cs typeface="+mn-cs"/>
            </a:rPr>
            <a:t>）分離課税所得（土地・株式等の譲渡所得等）がある場合</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mn-ea"/>
              <a:cs typeface="+mn-cs"/>
            </a:rPr>
            <a:t>　（</a:t>
          </a:r>
          <a:r>
            <a:rPr kumimoji="0" lang="en-US" altLang="ja-JP" sz="1100" b="0" i="0" u="none" strike="noStrike" kern="0" cap="none" spc="0" normalizeH="0" baseline="0" noProof="0">
              <a:ln>
                <a:noFill/>
              </a:ln>
              <a:solidFill>
                <a:schemeClr val="tx1"/>
              </a:solidFill>
              <a:effectLst/>
              <a:uLnTx/>
              <a:uFillTx/>
              <a:latin typeface="ＭＳ Ｐゴシック" pitchFamily="50" charset="-128"/>
              <a:ea typeface="+mn-ea"/>
              <a:cs typeface="+mn-cs"/>
            </a:rPr>
            <a:t>11</a:t>
          </a: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mn-ea"/>
              <a:cs typeface="+mn-cs"/>
            </a:rPr>
            <a:t>）被用者保険の被保険者本人が後期高齢者医療制度に移行したことで、被扶養者が国</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mn-ea"/>
              <a:cs typeface="+mn-cs"/>
            </a:rPr>
            <a:t>　　　保加入（加入時に</a:t>
          </a:r>
          <a:r>
            <a:rPr kumimoji="0" lang="en-US" altLang="ja-JP" sz="1100" b="0" i="0" u="none" strike="noStrike" kern="0" cap="none" spc="0" normalizeH="0" baseline="0" noProof="0">
              <a:ln>
                <a:noFill/>
              </a:ln>
              <a:solidFill>
                <a:schemeClr val="tx1"/>
              </a:solidFill>
              <a:effectLst/>
              <a:uLnTx/>
              <a:uFillTx/>
              <a:latin typeface="ＭＳ Ｐゴシック" pitchFamily="50" charset="-128"/>
              <a:ea typeface="+mn-ea"/>
              <a:cs typeface="+mn-cs"/>
            </a:rPr>
            <a:t>65</a:t>
          </a: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mn-ea"/>
              <a:cs typeface="+mn-cs"/>
            </a:rPr>
            <a:t>歳以上の被扶養者のみ）した場合</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mn-ea"/>
              <a:cs typeface="+mn-cs"/>
            </a:rPr>
            <a:t>　（</a:t>
          </a:r>
          <a:r>
            <a:rPr kumimoji="0" lang="en-US" altLang="ja-JP" sz="1100" b="0" i="0" u="none" strike="noStrike" kern="0" cap="none" spc="0" normalizeH="0" baseline="0" noProof="0">
              <a:ln>
                <a:noFill/>
              </a:ln>
              <a:solidFill>
                <a:schemeClr val="tx1"/>
              </a:solidFill>
              <a:effectLst/>
              <a:uLnTx/>
              <a:uFillTx/>
              <a:latin typeface="ＭＳ Ｐゴシック" pitchFamily="50" charset="-128"/>
              <a:ea typeface="+mn-ea"/>
              <a:cs typeface="+mn-cs"/>
            </a:rPr>
            <a:t>12</a:t>
          </a: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mn-ea"/>
              <a:cs typeface="+mn-cs"/>
            </a:rPr>
            <a:t>）倒産・解雇や雇い止めなどにより離職された方（非自発的失業者）に対する軽減措置</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pitchFamily="50" charset="-128"/>
              <a:ea typeface="+mn-ea"/>
              <a:cs typeface="+mn-cs"/>
            </a:rPr>
            <a:t>　　　の条件に該当する場合</a:t>
          </a:r>
          <a:endParaRPr kumimoji="0" lang="en-US" altLang="ja-JP" sz="1100" b="0" i="0" u="none" strike="noStrike" kern="0" cap="none" spc="0" normalizeH="0" baseline="0">
            <a:ln>
              <a:noFill/>
            </a:ln>
            <a:solidFill>
              <a:schemeClr val="tx1"/>
            </a:solidFill>
            <a:effectLst/>
            <a:uLnTx/>
            <a:uFillTx/>
            <a:latin typeface="ＭＳ Ｐゴシック" pitchFamily="50" charset="-128"/>
            <a:ea typeface="ＭＳ Ｐゴシック"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a:ln>
                <a:noFill/>
              </a:ln>
              <a:solidFill>
                <a:srgbClr val="333333"/>
              </a:solidFill>
              <a:effectLst/>
              <a:uLnTx/>
              <a:uFillTx/>
              <a:latin typeface="ＭＳ Ｐゴシック" pitchFamily="50" charset="-128"/>
              <a:ea typeface="ＭＳ Ｐゴシック" pitchFamily="50" charset="-128"/>
              <a:cs typeface="+mn-cs"/>
            </a:rPr>
            <a:t>　</a:t>
          </a:r>
          <a:endParaRPr kumimoji="0" lang="en-US" altLang="ja-JP" sz="1100" b="0" i="0" u="none" strike="noStrike" kern="0" cap="none" spc="0" normalizeH="0" baseline="0">
            <a:ln>
              <a:noFill/>
            </a:ln>
            <a:solidFill>
              <a:srgbClr val="333333"/>
            </a:solidFill>
            <a:effectLst/>
            <a:uLnTx/>
            <a:uFillTx/>
            <a:latin typeface="ＭＳ Ｐゴシック" pitchFamily="50" charset="-128"/>
            <a:ea typeface="ＭＳ Ｐゴシック" pitchFamily="50" charset="-128"/>
            <a:cs typeface="+mn-cs"/>
          </a:endParaRPr>
        </a:p>
      </xdr:txBody>
    </xdr:sp>
    <xdr:clientData/>
  </xdr:twoCellAnchor>
  <xdr:twoCellAnchor>
    <xdr:from>
      <xdr:col>0</xdr:col>
      <xdr:colOff>142875</xdr:colOff>
      <xdr:row>19</xdr:row>
      <xdr:rowOff>171449</xdr:rowOff>
    </xdr:from>
    <xdr:to>
      <xdr:col>39</xdr:col>
      <xdr:colOff>0</xdr:colOff>
      <xdr:row>36</xdr:row>
      <xdr:rowOff>95249</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42875" y="6057899"/>
          <a:ext cx="5553075" cy="2749550"/>
          <a:chOff x="142875" y="6162674"/>
          <a:chExt cx="6172200" cy="2847975"/>
        </a:xfrm>
      </xdr:grpSpPr>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42875" y="6162674"/>
            <a:ext cx="6172200" cy="2847975"/>
          </a:xfrm>
          <a:prstGeom prst="roundRect">
            <a:avLst>
              <a:gd name="adj" fmla="val 4210"/>
            </a:avLst>
          </a:prstGeom>
          <a:solidFill>
            <a:srgbClr val="FFFFEB"/>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0" name="グループ化 19">
            <a:extLst>
              <a:ext uri="{FF2B5EF4-FFF2-40B4-BE49-F238E27FC236}">
                <a16:creationId xmlns:a16="http://schemas.microsoft.com/office/drawing/2014/main" id="{00000000-0008-0000-0000-000014000000}"/>
              </a:ext>
            </a:extLst>
          </xdr:cNvPr>
          <xdr:cNvGrpSpPr/>
        </xdr:nvGrpSpPr>
        <xdr:grpSpPr>
          <a:xfrm>
            <a:off x="390524" y="6467476"/>
            <a:ext cx="5800725" cy="2400299"/>
            <a:chOff x="171450" y="6057901"/>
            <a:chExt cx="5029200" cy="1543049"/>
          </a:xfrm>
        </xdr:grpSpPr>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057901"/>
              <a:ext cx="5029200" cy="1543049"/>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2" name="角丸四角形 11">
              <a:extLst>
                <a:ext uri="{FF2B5EF4-FFF2-40B4-BE49-F238E27FC236}">
                  <a16:creationId xmlns:a16="http://schemas.microsoft.com/office/drawing/2014/main" id="{00000000-0008-0000-0000-00000C000000}"/>
                </a:ext>
              </a:extLst>
            </xdr:cNvPr>
            <xdr:cNvSpPr/>
          </xdr:nvSpPr>
          <xdr:spPr>
            <a:xfrm>
              <a:off x="1257300" y="6619875"/>
              <a:ext cx="1085850" cy="32385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2381250" y="6619875"/>
              <a:ext cx="952500" cy="323850"/>
            </a:xfrm>
            <a:prstGeom prst="roundRect">
              <a:avLst/>
            </a:prstGeom>
            <a:noFill/>
            <a:ln>
              <a:solidFill>
                <a:srgbClr val="FF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019175" y="6248400"/>
              <a:ext cx="20764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rPr>
                <a:t>この欄の数字を入力してください。</a:t>
              </a:r>
            </a:p>
          </xdr:txBody>
        </xdr:sp>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H="1">
              <a:off x="1762125" y="6486525"/>
              <a:ext cx="295275" cy="2476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2447925" y="7162800"/>
              <a:ext cx="2609850"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rPr>
                <a:t>所得割の算定にはこの欄の数字を使用します。</a:t>
              </a:r>
            </a:p>
          </xdr:txBody>
        </xdr:sp>
        <xdr:cxnSp macro="">
          <xdr:nvCxnSpPr>
            <xdr:cNvPr id="19" name="直線矢印コネクタ 18">
              <a:extLst>
                <a:ext uri="{FF2B5EF4-FFF2-40B4-BE49-F238E27FC236}">
                  <a16:creationId xmlns:a16="http://schemas.microsoft.com/office/drawing/2014/main" id="{00000000-0008-0000-0000-000013000000}"/>
                </a:ext>
              </a:extLst>
            </xdr:cNvPr>
            <xdr:cNvCxnSpPr>
              <a:stCxn id="17" idx="0"/>
            </xdr:cNvCxnSpPr>
          </xdr:nvCxnSpPr>
          <xdr:spPr>
            <a:xfrm flipH="1" flipV="1">
              <a:off x="2971800" y="6819900"/>
              <a:ext cx="781050" cy="3429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42875" y="6191250"/>
            <a:ext cx="291465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（参考１）給与所得の源泉徴収票</a:t>
            </a:r>
          </a:p>
        </xdr:txBody>
      </xdr:sp>
    </xdr:grpSp>
    <xdr:clientData/>
  </xdr:twoCellAnchor>
  <xdr:twoCellAnchor>
    <xdr:from>
      <xdr:col>42</xdr:col>
      <xdr:colOff>0</xdr:colOff>
      <xdr:row>18</xdr:row>
      <xdr:rowOff>0</xdr:rowOff>
    </xdr:from>
    <xdr:to>
      <xdr:col>80</xdr:col>
      <xdr:colOff>38100</xdr:colOff>
      <xdr:row>36</xdr:row>
      <xdr:rowOff>95249</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6134100" y="5473700"/>
          <a:ext cx="5588000" cy="3333749"/>
          <a:chOff x="6800850" y="5572125"/>
          <a:chExt cx="6191250" cy="3438524"/>
        </a:xfrm>
      </xdr:grpSpPr>
      <xdr:sp macro="" textlink="">
        <xdr:nvSpPr>
          <xdr:cNvPr id="23" name="角丸四角形 22">
            <a:extLst>
              <a:ext uri="{FF2B5EF4-FFF2-40B4-BE49-F238E27FC236}">
                <a16:creationId xmlns:a16="http://schemas.microsoft.com/office/drawing/2014/main" id="{00000000-0008-0000-0000-000017000000}"/>
              </a:ext>
            </a:extLst>
          </xdr:cNvPr>
          <xdr:cNvSpPr/>
        </xdr:nvSpPr>
        <xdr:spPr>
          <a:xfrm>
            <a:off x="6819900" y="5581649"/>
            <a:ext cx="6172200" cy="3429000"/>
          </a:xfrm>
          <a:prstGeom prst="roundRect">
            <a:avLst>
              <a:gd name="adj" fmla="val 4210"/>
            </a:avLst>
          </a:prstGeom>
          <a:solidFill>
            <a:srgbClr val="FFFFEB"/>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7038975" y="5829300"/>
            <a:ext cx="5799600" cy="3152775"/>
            <a:chOff x="5600700" y="561976"/>
            <a:chExt cx="5067300" cy="2419350"/>
          </a:xfrm>
        </xdr:grpSpPr>
        <xdr:pic>
          <xdr:nvPicPr>
            <xdr:cNvPr id="11" name="図 10">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00700" y="561976"/>
              <a:ext cx="5067300" cy="24193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角丸四角形 20">
              <a:extLst>
                <a:ext uri="{FF2B5EF4-FFF2-40B4-BE49-F238E27FC236}">
                  <a16:creationId xmlns:a16="http://schemas.microsoft.com/office/drawing/2014/main" id="{00000000-0008-0000-0000-000015000000}"/>
                </a:ext>
              </a:extLst>
            </xdr:cNvPr>
            <xdr:cNvSpPr/>
          </xdr:nvSpPr>
          <xdr:spPr>
            <a:xfrm>
              <a:off x="6886575" y="1057275"/>
              <a:ext cx="1924050" cy="60007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734300" y="1952626"/>
              <a:ext cx="2028825" cy="247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FF0000"/>
                  </a:solidFill>
                </a:rPr>
                <a:t>この欄の数字を入力してください。</a:t>
              </a:r>
            </a:p>
          </xdr:txBody>
        </xdr:sp>
        <xdr:cxnSp macro="">
          <xdr:nvCxnSpPr>
            <xdr:cNvPr id="24" name="直線矢印コネクタ 23">
              <a:extLst>
                <a:ext uri="{FF2B5EF4-FFF2-40B4-BE49-F238E27FC236}">
                  <a16:creationId xmlns:a16="http://schemas.microsoft.com/office/drawing/2014/main" id="{00000000-0008-0000-0000-000018000000}"/>
                </a:ext>
              </a:extLst>
            </xdr:cNvPr>
            <xdr:cNvCxnSpPr>
              <a:stCxn id="22" idx="0"/>
            </xdr:cNvCxnSpPr>
          </xdr:nvCxnSpPr>
          <xdr:spPr>
            <a:xfrm flipH="1" flipV="1">
              <a:off x="7877177" y="1447800"/>
              <a:ext cx="871536" cy="50482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6800850" y="5572125"/>
            <a:ext cx="2914650" cy="428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（参考２）公的年金等の源泉徴収票</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11</xdr:row>
          <xdr:rowOff>0</xdr:rowOff>
        </xdr:from>
        <xdr:to>
          <xdr:col>4</xdr:col>
          <xdr:colOff>228600</xdr:colOff>
          <xdr:row>12</xdr:row>
          <xdr:rowOff>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0</xdr:rowOff>
        </xdr:from>
        <xdr:to>
          <xdr:col>4</xdr:col>
          <xdr:colOff>228600</xdr:colOff>
          <xdr:row>14</xdr:row>
          <xdr:rowOff>0</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0</xdr:rowOff>
        </xdr:from>
        <xdr:to>
          <xdr:col>4</xdr:col>
          <xdr:colOff>228600</xdr:colOff>
          <xdr:row>16</xdr:row>
          <xdr:rowOff>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0</xdr:rowOff>
        </xdr:from>
        <xdr:to>
          <xdr:col>4</xdr:col>
          <xdr:colOff>228600</xdr:colOff>
          <xdr:row>18</xdr:row>
          <xdr:rowOff>0</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0</xdr:rowOff>
        </xdr:from>
        <xdr:to>
          <xdr:col>4</xdr:col>
          <xdr:colOff>228600</xdr:colOff>
          <xdr:row>20</xdr:row>
          <xdr:rowOff>0</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0</xdr:rowOff>
        </xdr:from>
        <xdr:to>
          <xdr:col>4</xdr:col>
          <xdr:colOff>228600</xdr:colOff>
          <xdr:row>22</xdr:row>
          <xdr:rowOff>0</xdr:rowOff>
        </xdr:to>
        <xdr:sp macro="" textlink="">
          <xdr:nvSpPr>
            <xdr:cNvPr id="3078" name="Drop Down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133350</xdr:colOff>
      <xdr:row>5</xdr:row>
      <xdr:rowOff>57149</xdr:rowOff>
    </xdr:from>
    <xdr:to>
      <xdr:col>2</xdr:col>
      <xdr:colOff>495300</xdr:colOff>
      <xdr:row>5</xdr:row>
      <xdr:rowOff>200024</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352425" y="1057274"/>
          <a:ext cx="361950" cy="142875"/>
        </a:xfrm>
        <a:prstGeom prst="rect">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19050</xdr:colOff>
      <xdr:row>26</xdr:row>
      <xdr:rowOff>1</xdr:rowOff>
    </xdr:from>
    <xdr:to>
      <xdr:col>15</xdr:col>
      <xdr:colOff>0</xdr:colOff>
      <xdr:row>28</xdr:row>
      <xdr:rowOff>57151</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152400" y="4552951"/>
          <a:ext cx="6457950" cy="628650"/>
        </a:xfrm>
        <a:prstGeom prst="roundRect">
          <a:avLst>
            <a:gd name="adj" fmla="val 4657"/>
          </a:avLst>
        </a:prstGeom>
        <a:noFill/>
        <a:ln w="25400" cap="flat" cmpd="sng" algn="ctr">
          <a:noFill/>
          <a:prstDash val="solid"/>
        </a:ln>
        <a:effectLst/>
      </xdr:spPr>
      <xdr:txBody>
        <a:bodyPr vertOverflow="clip" lIns="72000" tIns="0" rIns="72000" bIns="0" rtlCol="0"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rPr>
            <a:t>※</a:t>
          </a:r>
          <a:r>
            <a:rPr kumimoji="0" lang="ja-JP" altLang="en-US" sz="90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rPr>
            <a:t>１　</a:t>
          </a:r>
          <a:r>
            <a:rPr kumimoji="0" lang="ja-JP" altLang="en-US" sz="900" b="1" i="0" u="none" strike="noStrike" kern="0" cap="none" spc="0" normalizeH="0" baseline="0" noProof="0">
              <a:ln>
                <a:noFill/>
              </a:ln>
              <a:solidFill>
                <a:schemeClr val="tx1"/>
              </a:solidFill>
              <a:effectLst/>
              <a:uLnTx/>
              <a:uFillTx/>
              <a:latin typeface="ＭＳ Ｐゴシック" pitchFamily="50" charset="-128"/>
              <a:ea typeface="ＭＳ Ｐゴシック" pitchFamily="50" charset="-128"/>
              <a:cs typeface="+mn-cs"/>
            </a:rPr>
            <a:t>総所得金額等</a:t>
          </a:r>
          <a:r>
            <a:rPr kumimoji="0" lang="ja-JP" altLang="en-US" sz="85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rPr>
            <a:t>とは</a:t>
          </a:r>
          <a:r>
            <a:rPr kumimoji="0" lang="ja-JP" altLang="en-US" sz="85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rPr>
            <a:t>、地方税法第</a:t>
          </a:r>
          <a:r>
            <a:rPr kumimoji="0" lang="en-US" altLang="ja-JP" sz="85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rPr>
            <a:t>314</a:t>
          </a:r>
          <a:r>
            <a:rPr kumimoji="0" lang="ja-JP" altLang="en-US" sz="85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rPr>
            <a:t>条の</a:t>
          </a:r>
          <a:r>
            <a:rPr kumimoji="0" lang="en-US" altLang="ja-JP" sz="85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rPr>
            <a:t>2</a:t>
          </a:r>
          <a:r>
            <a:rPr kumimoji="0" lang="ja-JP" altLang="en-US" sz="85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rPr>
            <a:t>第</a:t>
          </a:r>
          <a:r>
            <a:rPr kumimoji="0" lang="en-US" altLang="ja-JP" sz="85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rPr>
            <a:t>1</a:t>
          </a:r>
          <a:r>
            <a:rPr kumimoji="0" lang="ja-JP" altLang="en-US" sz="85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rPr>
            <a:t>項などで規定されている総所得金額等です（総合課税及び分離課税の所得の合計額。ただし、退職所得は除く。）。給与所得だけの場合は給与所得（給与所得控除後の金額）が、給与所得と年金所得だけの場合は、給与所得と年金所得の合計額が総所得金額等の金額になります。</a:t>
          </a:r>
          <a:r>
            <a:rPr lang="ja-JP" altLang="ja-JP" sz="850" b="0" i="0" baseline="0">
              <a:effectLst/>
              <a:latin typeface="ＭＳ Ｐ明朝" pitchFamily="18" charset="-128"/>
              <a:ea typeface="ＭＳ Ｐ明朝" pitchFamily="18" charset="-128"/>
              <a:cs typeface="+mn-cs"/>
            </a:rPr>
            <a:t>詳しくは</a:t>
          </a:r>
          <a:r>
            <a:rPr lang="ja-JP" altLang="ja-JP" sz="850" b="1" i="0" u="sng" baseline="0">
              <a:effectLst/>
              <a:latin typeface="ＭＳ Ｐ明朝" pitchFamily="18" charset="-128"/>
              <a:ea typeface="ＭＳ Ｐ明朝" pitchFamily="18" charset="-128"/>
              <a:cs typeface="+mn-cs"/>
            </a:rPr>
            <a:t>ホームページ</a:t>
          </a:r>
          <a:r>
            <a:rPr lang="ja-JP" altLang="ja-JP" sz="850" b="0" i="0" baseline="0">
              <a:effectLst/>
              <a:latin typeface="ＭＳ Ｐ明朝" pitchFamily="18" charset="-128"/>
              <a:ea typeface="ＭＳ Ｐ明朝" pitchFamily="18" charset="-128"/>
              <a:cs typeface="+mn-cs"/>
            </a:rPr>
            <a:t>でご確認ください。</a:t>
          </a:r>
          <a:endParaRPr kumimoji="0" lang="en-US" altLang="ja-JP" sz="85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endParaRPr>
        </a:p>
      </xdr:txBody>
    </xdr:sp>
    <xdr:clientData/>
  </xdr:twoCellAnchor>
  <xdr:twoCellAnchor>
    <xdr:from>
      <xdr:col>1</xdr:col>
      <xdr:colOff>0</xdr:colOff>
      <xdr:row>33</xdr:row>
      <xdr:rowOff>104775</xdr:rowOff>
    </xdr:from>
    <xdr:to>
      <xdr:col>15</xdr:col>
      <xdr:colOff>0</xdr:colOff>
      <xdr:row>38</xdr:row>
      <xdr:rowOff>96837</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a:xfrm>
          <a:off x="133350" y="6010275"/>
          <a:ext cx="6477000" cy="849312"/>
        </a:xfrm>
        <a:prstGeom prst="roundRect">
          <a:avLst>
            <a:gd name="adj" fmla="val 4657"/>
          </a:avLst>
        </a:prstGeom>
        <a:noFill/>
        <a:ln w="25400" cap="flat" cmpd="sng" algn="ctr">
          <a:noFill/>
          <a:prstDash val="solid"/>
        </a:ln>
        <a:effectLst/>
      </xdr:spPr>
      <xdr:txBody>
        <a:bodyPr vertOverflow="clip" lIns="72000" tIns="36000" rIns="72000" bIns="36000" rtlCol="0" anchor="ct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333333"/>
              </a:solidFill>
              <a:effectLst/>
              <a:uLnTx/>
              <a:uFillTx/>
              <a:latin typeface="+mn-ea"/>
              <a:ea typeface="+mn-ea"/>
              <a:cs typeface="+mn-cs"/>
            </a:rPr>
            <a:t>低所得世帯の保険料の軽減</a:t>
          </a:r>
          <a:endParaRPr kumimoji="0" lang="en-US" altLang="ja-JP" sz="900" b="0" i="0" u="none" strike="noStrike" kern="0" cap="none" spc="0" normalizeH="0" baseline="0" noProof="0">
            <a:ln>
              <a:noFill/>
            </a:ln>
            <a:solidFill>
              <a:srgbClr val="333333"/>
            </a:solidFill>
            <a:effectLst/>
            <a:uLnTx/>
            <a:uFillTx/>
            <a:latin typeface="+mn-ea"/>
            <a:ea typeface="+mn-ea"/>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333333"/>
              </a:solidFill>
              <a:effectLst/>
              <a:uLnTx/>
              <a:uFillTx/>
              <a:latin typeface="+mn-ea"/>
              <a:ea typeface="+mn-ea"/>
              <a:cs typeface="+mn-cs"/>
            </a:rPr>
            <a:t>　</a:t>
          </a:r>
          <a:r>
            <a:rPr kumimoji="0" lang="ja-JP" altLang="en-US" sz="85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rPr>
            <a:t>申告された前年中の所得（世帯主、被保険者及び特定同一世帯所属者</a:t>
          </a:r>
          <a:r>
            <a:rPr kumimoji="0" lang="en-US" altLang="ja-JP" sz="85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rPr>
            <a:t>(※</a:t>
          </a:r>
          <a:r>
            <a:rPr kumimoji="0" lang="ja-JP" altLang="en-US" sz="85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rPr>
            <a:t>２</a:t>
          </a:r>
          <a:r>
            <a:rPr kumimoji="0" lang="en-US" altLang="ja-JP" sz="85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rPr>
            <a:t>)</a:t>
          </a:r>
          <a:r>
            <a:rPr kumimoji="0" lang="ja-JP" altLang="en-US" sz="85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rPr>
            <a:t>の総所得金額等の合算額）が、国の定める所得基準以下の世帯について、保険料（均等割及び平等割）が、次の割合で軽減となります。</a:t>
          </a:r>
          <a:endParaRPr kumimoji="0" lang="en-US" altLang="ja-JP" sz="85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endParaRPr>
        </a:p>
      </xdr:txBody>
    </xdr:sp>
    <xdr:clientData/>
  </xdr:twoCellAnchor>
  <xdr:twoCellAnchor>
    <xdr:from>
      <xdr:col>16</xdr:col>
      <xdr:colOff>0</xdr:colOff>
      <xdr:row>3</xdr:row>
      <xdr:rowOff>0</xdr:rowOff>
    </xdr:from>
    <xdr:to>
      <xdr:col>28</xdr:col>
      <xdr:colOff>0</xdr:colOff>
      <xdr:row>6</xdr:row>
      <xdr:rowOff>0</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6719455" y="450273"/>
          <a:ext cx="4978977" cy="658091"/>
        </a:xfrm>
        <a:prstGeom prst="roundRect">
          <a:avLst>
            <a:gd name="adj" fmla="val 4657"/>
          </a:avLst>
        </a:prstGeom>
        <a:noFill/>
        <a:ln w="25400" cap="flat" cmpd="sng" algn="ctr">
          <a:noFill/>
          <a:prstDash val="solid"/>
        </a:ln>
        <a:effectLst/>
      </xdr:spPr>
      <xdr:txBody>
        <a:bodyPr vertOverflow="clip" lIns="72000" tIns="36000" rIns="72000" bIns="36000" rtlCol="0" anchor="ctr"/>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rPr>
            <a:t>　</a:t>
          </a:r>
          <a:r>
            <a:rPr kumimoji="0" lang="ja-JP" altLang="en-US" sz="90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rPr>
            <a:t>保険料は、加入される方の人数と前年中の所得で計算します。保険料は、医療分、支援分（後期高齢者医療制度への支援分）、介護分（介護保険第２号被保険者）があり、それぞれ、均等割、平等割、所得割により計算し、それらの合計額が保険料となります。</a:t>
          </a:r>
          <a:endParaRPr kumimoji="0" lang="en-US" altLang="ja-JP" sz="900" b="0" i="0" u="none" strike="noStrike" kern="0" cap="none" spc="0" normalizeH="0" baseline="0" noProof="0">
            <a:ln>
              <a:noFill/>
            </a:ln>
            <a:solidFill>
              <a:srgbClr val="333333"/>
            </a:solidFill>
            <a:effectLst/>
            <a:uLnTx/>
            <a:uFillTx/>
            <a:latin typeface="ＭＳ Ｐ明朝" pitchFamily="18" charset="-128"/>
            <a:ea typeface="ＭＳ Ｐ明朝" pitchFamily="18" charset="-128"/>
            <a:cs typeface="+mn-cs"/>
          </a:endParaRPr>
        </a:p>
      </xdr:txBody>
    </xdr:sp>
    <xdr:clientData/>
  </xdr:twoCellAnchor>
  <xdr:twoCellAnchor>
    <xdr:from>
      <xdr:col>15</xdr:col>
      <xdr:colOff>59690</xdr:colOff>
      <xdr:row>27</xdr:row>
      <xdr:rowOff>20320</xdr:rowOff>
    </xdr:from>
    <xdr:to>
      <xdr:col>28</xdr:col>
      <xdr:colOff>61595</xdr:colOff>
      <xdr:row>47</xdr:row>
      <xdr:rowOff>83820</xdr:rowOff>
    </xdr:to>
    <xdr:sp macro="" textlink="">
      <xdr:nvSpPr>
        <xdr:cNvPr id="15" name="角丸四角形 23">
          <a:extLst>
            <a:ext uri="{FF2B5EF4-FFF2-40B4-BE49-F238E27FC236}">
              <a16:creationId xmlns:a16="http://schemas.microsoft.com/office/drawing/2014/main" id="{00000000-0008-0000-0100-00000F000000}"/>
            </a:ext>
          </a:extLst>
        </xdr:cNvPr>
        <xdr:cNvSpPr/>
      </xdr:nvSpPr>
      <xdr:spPr>
        <a:xfrm>
          <a:off x="6117590" y="4676140"/>
          <a:ext cx="4665345" cy="3683000"/>
        </a:xfrm>
        <a:prstGeom prst="roundRect">
          <a:avLst>
            <a:gd name="adj" fmla="val 4657"/>
          </a:avLst>
        </a:prstGeom>
        <a:noFill/>
        <a:ln w="25400" cap="flat" cmpd="sng" algn="ctr">
          <a:noFill/>
          <a:prstDash val="solid"/>
        </a:ln>
        <a:effectLst/>
      </xdr:spPr>
      <xdr:txBody>
        <a:bodyPr vertOverflow="clip" lIns="72000" tIns="36000" rIns="72000" bIns="36000" rtlCol="0" anchor="t" anchorCtr="0"/>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200" b="1" i="1" u="none" strike="noStrike" kern="0" cap="none" spc="0" normalizeH="0" baseline="0" noProof="0">
              <a:ln>
                <a:noFill/>
              </a:ln>
              <a:solidFill>
                <a:srgbClr val="FF0000"/>
              </a:solidFill>
              <a:effectLst/>
              <a:uLnTx/>
              <a:uFillTx/>
              <a:latin typeface="ＭＳ Ｐゴシック" pitchFamily="50" charset="-128"/>
              <a:ea typeface="ＭＳ Ｐゴシック" pitchFamily="50" charset="-128"/>
              <a:cs typeface="+mn-cs"/>
            </a:rPr>
            <a:t>＜注意事項＞</a:t>
          </a:r>
          <a:endParaRPr kumimoji="0" lang="en-US" altLang="ja-JP" sz="1200" b="1" i="1" u="none" strike="noStrike" kern="0" cap="none" spc="0" normalizeH="0" baseline="0" noProof="0">
            <a:ln>
              <a:noFill/>
            </a:ln>
            <a:solidFill>
              <a:srgbClr val="FF0000"/>
            </a:solidFill>
            <a:effectLst/>
            <a:uLnTx/>
            <a:uFillTx/>
            <a:latin typeface="ＭＳ Ｐゴシック" pitchFamily="50" charset="-128"/>
            <a:ea typeface="ＭＳ Ｐゴシック" pitchFamily="50"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870" b="1" i="0" u="sng" strike="noStrike" kern="0" cap="none" spc="0" normalizeH="0" baseline="0" noProof="0">
              <a:ln>
                <a:noFill/>
              </a:ln>
              <a:solidFill>
                <a:srgbClr val="FF0000"/>
              </a:solidFill>
              <a:effectLst/>
              <a:uLnTx/>
              <a:uFillTx/>
              <a:latin typeface="ＭＳ Ｐゴシック" pitchFamily="50" charset="-128"/>
              <a:ea typeface="+mn-ea"/>
              <a:cs typeface="+mn-cs"/>
            </a:rPr>
            <a:t>※</a:t>
          </a:r>
          <a:r>
            <a:rPr kumimoji="0" lang="ja-JP" altLang="en-US" sz="870" b="1" i="0" u="sng" strike="noStrike" kern="0" cap="none" spc="0" normalizeH="0" baseline="0" noProof="0">
              <a:ln>
                <a:noFill/>
              </a:ln>
              <a:solidFill>
                <a:srgbClr val="FF0000"/>
              </a:solidFill>
              <a:effectLst/>
              <a:uLnTx/>
              <a:uFillTx/>
              <a:latin typeface="ＭＳ Ｐゴシック" pitchFamily="50" charset="-128"/>
              <a:ea typeface="+mn-ea"/>
              <a:cs typeface="+mn-cs"/>
            </a:rPr>
            <a:t>上記の試算結果はあくまでも試算であり、実際の保険料額とは異なります。差異について、</a:t>
          </a:r>
          <a:endParaRPr kumimoji="0" lang="en-US" altLang="ja-JP" sz="870" b="1" i="0" u="sng" strike="noStrike" kern="0" cap="none" spc="0" normalizeH="0" baseline="0" noProof="0">
            <a:ln>
              <a:noFill/>
            </a:ln>
            <a:solidFill>
              <a:srgbClr val="FF0000"/>
            </a:solidFill>
            <a:effectLst/>
            <a:uLnTx/>
            <a:uFillTx/>
            <a:latin typeface="ＭＳ Ｐゴシック" pitchFamily="50" charset="-128"/>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1" i="0" u="sng" strike="noStrike" kern="0" cap="none" spc="0" normalizeH="0" baseline="0" noProof="0">
              <a:ln>
                <a:noFill/>
              </a:ln>
              <a:solidFill>
                <a:srgbClr val="FF0000"/>
              </a:solidFill>
              <a:effectLst/>
              <a:uLnTx/>
              <a:uFillTx/>
              <a:latin typeface="ＭＳ Ｐゴシック" pitchFamily="50" charset="-128"/>
              <a:ea typeface="+mn-ea"/>
              <a:cs typeface="+mn-cs"/>
            </a:rPr>
            <a:t>　本市では責任を負いかねますので、御了承ください。</a:t>
          </a:r>
          <a:endParaRPr kumimoji="0" lang="en-US" altLang="ja-JP" sz="870" b="0" i="0" u="none" strike="noStrike" kern="0" cap="none" spc="0" normalizeH="0" baseline="0" noProof="0">
            <a:ln>
              <a:noFill/>
            </a:ln>
            <a:solidFill>
              <a:srgbClr val="333333"/>
            </a:solidFill>
            <a:effectLst/>
            <a:uLnTx/>
            <a:uFillTx/>
            <a:latin typeface="ＭＳ Ｐゴシック" pitchFamily="50" charset="-128"/>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870" b="0" i="0" u="none" strike="noStrike" kern="0" cap="none" spc="0" normalizeH="0" baseline="0" noProof="0">
              <a:ln>
                <a:noFill/>
              </a:ln>
              <a:solidFill>
                <a:srgbClr val="333333"/>
              </a:solidFill>
              <a:effectLst/>
              <a:uLnTx/>
              <a:uFillTx/>
              <a:latin typeface="ＭＳ Ｐゴシック" pitchFamily="50" charset="-128"/>
              <a:ea typeface="+mn-ea"/>
              <a:cs typeface="+mn-cs"/>
            </a:rPr>
            <a:t>※</a:t>
          </a:r>
          <a:r>
            <a:rPr kumimoji="0" lang="ja-JP" altLang="en-US" sz="870" b="0" i="0" u="none" strike="noStrike" kern="0" cap="none" spc="0" normalizeH="0" baseline="0" noProof="0">
              <a:ln>
                <a:noFill/>
              </a:ln>
              <a:solidFill>
                <a:srgbClr val="333333"/>
              </a:solidFill>
              <a:effectLst/>
              <a:uLnTx/>
              <a:uFillTx/>
              <a:latin typeface="ＭＳ Ｐゴシック" pitchFamily="50" charset="-128"/>
              <a:ea typeface="+mn-ea"/>
              <a:cs typeface="+mn-cs"/>
            </a:rPr>
            <a:t>次のいずれかの項目に該当する場合は、このシートでは正しく計算できません。</a:t>
          </a:r>
          <a:endParaRPr kumimoji="0" lang="en-US" altLang="ja-JP" sz="870" b="0" i="0" u="none" strike="noStrike" kern="0" cap="none" spc="0" normalizeH="0" baseline="0" noProof="0">
            <a:ln>
              <a:noFill/>
            </a:ln>
            <a:solidFill>
              <a:srgbClr val="333333"/>
            </a:solidFill>
            <a:effectLst/>
            <a:uLnTx/>
            <a:uFillTx/>
            <a:latin typeface="ＭＳ Ｐゴシック" pitchFamily="50" charset="-128"/>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rgbClr val="333333"/>
              </a:solidFill>
              <a:effectLst/>
              <a:uLnTx/>
              <a:uFillTx/>
              <a:latin typeface="ＭＳ Ｐゴシック" pitchFamily="50" charset="-128"/>
              <a:ea typeface="+mn-ea"/>
              <a:cs typeface="+mn-cs"/>
            </a:rPr>
            <a:t>　お手数ですが、お住いの区の区役所保険年金課へお問い合せください。</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rgbClr val="333333"/>
              </a:solidFill>
              <a:effectLst/>
              <a:uLnTx/>
              <a:uFillTx/>
              <a:latin typeface="ＭＳ Ｐゴシック" pitchFamily="50" charset="-128"/>
              <a:ea typeface="+mn-ea"/>
              <a:cs typeface="+mn-cs"/>
            </a:rPr>
            <a:t>　（１）年度途中に加入者の所得や加入人数が変わる場合</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rgbClr val="333333"/>
              </a:solidFill>
              <a:effectLst/>
              <a:uLnTx/>
              <a:uFillTx/>
              <a:latin typeface="ＭＳ Ｐゴシック" pitchFamily="50" charset="-128"/>
              <a:ea typeface="+mn-ea"/>
              <a:cs typeface="+mn-cs"/>
            </a:rPr>
            <a:t>　（２）年度途中に加入者が</a:t>
          </a:r>
          <a:r>
            <a:rPr kumimoji="0" lang="en-US" altLang="ja-JP" sz="870" b="0" i="0" u="none" strike="noStrike" kern="0" cap="none" spc="0" normalizeH="0" baseline="0" noProof="0">
              <a:ln>
                <a:noFill/>
              </a:ln>
              <a:solidFill>
                <a:srgbClr val="333333"/>
              </a:solidFill>
              <a:effectLst/>
              <a:uLnTx/>
              <a:uFillTx/>
              <a:latin typeface="ＭＳ Ｐゴシック" pitchFamily="50" charset="-128"/>
              <a:ea typeface="+mn-ea"/>
              <a:cs typeface="+mn-cs"/>
            </a:rPr>
            <a:t>40</a:t>
          </a:r>
          <a:r>
            <a:rPr kumimoji="0" lang="ja-JP" altLang="en-US" sz="870" b="0" i="0" u="none" strike="noStrike" kern="0" cap="none" spc="0" normalizeH="0" baseline="0" noProof="0">
              <a:ln>
                <a:noFill/>
              </a:ln>
              <a:solidFill>
                <a:srgbClr val="333333"/>
              </a:solidFill>
              <a:effectLst/>
              <a:uLnTx/>
              <a:uFillTx/>
              <a:latin typeface="ＭＳ Ｐゴシック" pitchFamily="50" charset="-128"/>
              <a:ea typeface="+mn-ea"/>
              <a:cs typeface="+mn-cs"/>
            </a:rPr>
            <a:t>歳に到達し、介護保険第２号被保険者となる場合</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rgbClr val="333333"/>
              </a:solidFill>
              <a:effectLst/>
              <a:uLnTx/>
              <a:uFillTx/>
              <a:latin typeface="ＭＳ Ｐゴシック" pitchFamily="50" charset="-128"/>
              <a:ea typeface="+mn-ea"/>
              <a:cs typeface="+mn-cs"/>
            </a:rPr>
            <a:t>　（３）年度途中に加入者が</a:t>
          </a:r>
          <a:r>
            <a:rPr kumimoji="0" lang="en-US" altLang="ja-JP" sz="870" b="0" i="0" u="none" strike="noStrike" kern="0" cap="none" spc="0" normalizeH="0" baseline="0" noProof="0">
              <a:ln>
                <a:noFill/>
              </a:ln>
              <a:solidFill>
                <a:srgbClr val="333333"/>
              </a:solidFill>
              <a:effectLst/>
              <a:uLnTx/>
              <a:uFillTx/>
              <a:latin typeface="ＭＳ Ｐゴシック" pitchFamily="50" charset="-128"/>
              <a:ea typeface="+mn-ea"/>
              <a:cs typeface="+mn-cs"/>
            </a:rPr>
            <a:t>65</a:t>
          </a:r>
          <a:r>
            <a:rPr kumimoji="0" lang="ja-JP" altLang="en-US" sz="870" b="0" i="0" u="none" strike="noStrike" kern="0" cap="none" spc="0" normalizeH="0" baseline="0" noProof="0">
              <a:ln>
                <a:noFill/>
              </a:ln>
              <a:solidFill>
                <a:srgbClr val="333333"/>
              </a:solidFill>
              <a:effectLst/>
              <a:uLnTx/>
              <a:uFillTx/>
              <a:latin typeface="ＭＳ Ｐゴシック" pitchFamily="50" charset="-128"/>
              <a:ea typeface="+mn-ea"/>
              <a:cs typeface="+mn-cs"/>
            </a:rPr>
            <a:t>歳に到達し、介護保険第２号被保険者でなくなる</a:t>
          </a:r>
          <a:r>
            <a:rPr kumimoji="0" lang="en-US" altLang="ja-JP" sz="870" b="0" i="0" u="none" strike="noStrike" kern="0" cap="none" spc="0" normalizeH="0" baseline="0" noProof="0">
              <a:ln>
                <a:noFill/>
              </a:ln>
              <a:solidFill>
                <a:srgbClr val="333333"/>
              </a:solidFill>
              <a:effectLst/>
              <a:uLnTx/>
              <a:uFillTx/>
              <a:latin typeface="ＭＳ Ｐゴシック" pitchFamily="50" charset="-128"/>
              <a:ea typeface="+mn-ea"/>
              <a:cs typeface="+mn-cs"/>
            </a:rPr>
            <a:t>(</a:t>
          </a:r>
          <a:r>
            <a:rPr kumimoji="0" lang="ja-JP" altLang="en-US" sz="870" b="0" i="0" u="none" strike="noStrike" kern="0" cap="none" spc="0" normalizeH="0" baseline="0" noProof="0">
              <a:ln>
                <a:noFill/>
              </a:ln>
              <a:solidFill>
                <a:srgbClr val="333333"/>
              </a:solidFill>
              <a:effectLst/>
              <a:uLnTx/>
              <a:uFillTx/>
              <a:latin typeface="ＭＳ Ｐゴシック" pitchFamily="50" charset="-128"/>
              <a:ea typeface="+mn-ea"/>
              <a:cs typeface="+mn-cs"/>
            </a:rPr>
            <a:t>介護保険第１</a:t>
          </a:r>
          <a:endParaRPr kumimoji="0" lang="en-US" altLang="ja-JP" sz="870" b="0" i="0" u="none" strike="noStrike" kern="0" cap="none" spc="0" normalizeH="0" baseline="0" noProof="0">
            <a:ln>
              <a:noFill/>
            </a:ln>
            <a:solidFill>
              <a:srgbClr val="333333"/>
            </a:solidFill>
            <a:effectLst/>
            <a:uLnTx/>
            <a:uFillTx/>
            <a:latin typeface="ＭＳ Ｐゴシック" pitchFamily="50" charset="-128"/>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rgbClr val="333333"/>
              </a:solidFill>
              <a:effectLst/>
              <a:uLnTx/>
              <a:uFillTx/>
              <a:latin typeface="ＭＳ Ｐゴシック" pitchFamily="50" charset="-128"/>
              <a:ea typeface="+mn-ea"/>
              <a:cs typeface="+mn-cs"/>
            </a:rPr>
            <a:t>　　　号被保険者となる</a:t>
          </a:r>
          <a:r>
            <a:rPr kumimoji="0" lang="en-US" altLang="ja-JP" sz="870" b="0" i="0" u="none" strike="noStrike" kern="0" cap="none" spc="0" normalizeH="0" baseline="0" noProof="0">
              <a:ln>
                <a:noFill/>
              </a:ln>
              <a:solidFill>
                <a:srgbClr val="333333"/>
              </a:solidFill>
              <a:effectLst/>
              <a:uLnTx/>
              <a:uFillTx/>
              <a:latin typeface="ＭＳ Ｐゴシック" pitchFamily="50" charset="-128"/>
              <a:ea typeface="+mn-ea"/>
              <a:cs typeface="+mn-cs"/>
            </a:rPr>
            <a:t>)</a:t>
          </a:r>
          <a:r>
            <a:rPr kumimoji="0" lang="ja-JP" altLang="en-US" sz="870" b="0" i="0" u="none" strike="noStrike" kern="0" cap="none" spc="0" normalizeH="0" baseline="0" noProof="0">
              <a:ln>
                <a:noFill/>
              </a:ln>
              <a:solidFill>
                <a:srgbClr val="333333"/>
              </a:solidFill>
              <a:effectLst/>
              <a:uLnTx/>
              <a:uFillTx/>
              <a:latin typeface="ＭＳ Ｐゴシック" pitchFamily="50" charset="-128"/>
              <a:ea typeface="+mn-ea"/>
              <a:cs typeface="+mn-cs"/>
            </a:rPr>
            <a:t>場合</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rgbClr val="333333"/>
              </a:solidFill>
              <a:effectLst/>
              <a:uLnTx/>
              <a:uFillTx/>
              <a:latin typeface="ＭＳ Ｐゴシック" pitchFamily="50" charset="-128"/>
              <a:ea typeface="+mn-ea"/>
              <a:cs typeface="+mn-cs"/>
            </a:rPr>
            <a:t>　（４）年度途中に加入者が後期高齢者医療制度に移行し、残った国民健康保険の加入者が</a:t>
          </a:r>
          <a:endParaRPr kumimoji="0" lang="en-US" altLang="ja-JP" sz="870" b="0" i="0" u="none" strike="noStrike" kern="0" cap="none" spc="0" normalizeH="0" baseline="0" noProof="0">
            <a:ln>
              <a:noFill/>
            </a:ln>
            <a:solidFill>
              <a:srgbClr val="333333"/>
            </a:solidFill>
            <a:effectLst/>
            <a:uLnTx/>
            <a:uFillTx/>
            <a:latin typeface="ＭＳ Ｐゴシック" pitchFamily="50" charset="-128"/>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rgbClr val="333333"/>
              </a:solidFill>
              <a:effectLst/>
              <a:uLnTx/>
              <a:uFillTx/>
              <a:latin typeface="ＭＳ Ｐゴシック" pitchFamily="50" charset="-128"/>
              <a:ea typeface="+mn-ea"/>
              <a:cs typeface="+mn-cs"/>
            </a:rPr>
            <a:t>　　　１人となる場合（後期高齢者医療制度へ移行してから８年を経過する月までを含む）</a:t>
          </a:r>
          <a:endParaRPr kumimoji="0" lang="en-US" altLang="ja-JP" sz="870" b="0" i="0" u="none" strike="noStrike" kern="0" cap="none" spc="0" normalizeH="0" baseline="0" noProof="0">
            <a:ln>
              <a:noFill/>
            </a:ln>
            <a:solidFill>
              <a:srgbClr val="333333"/>
            </a:solidFill>
            <a:effectLst/>
            <a:uLnTx/>
            <a:uFillTx/>
            <a:latin typeface="ＭＳ Ｐゴシック" pitchFamily="50" charset="-128"/>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rgbClr val="333333"/>
              </a:solidFill>
              <a:effectLst/>
              <a:uLnTx/>
              <a:uFillTx/>
              <a:latin typeface="ＭＳ Ｐゴシック" pitchFamily="50" charset="-128"/>
              <a:ea typeface="+mn-ea"/>
              <a:cs typeface="+mn-cs"/>
            </a:rPr>
            <a:t>　</a:t>
          </a:r>
          <a:r>
            <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rPr>
            <a:t>（５）世帯内に特定同一世帯所属者、未就学児、産前産後期間の保険料の軽減を受ける者</a:t>
          </a:r>
          <a:endParaRPr kumimoji="0" lang="en-US" altLang="ja-JP" sz="870" b="0" i="0" u="none" strike="noStrike" kern="0" cap="none" spc="0" normalizeH="0" baseline="0" noProof="0">
            <a:ln>
              <a:noFill/>
            </a:ln>
            <a:solidFill>
              <a:schemeClr val="tx1"/>
            </a:solidFill>
            <a:effectLst/>
            <a:uLnTx/>
            <a:uFillTx/>
            <a:latin typeface="ＭＳ Ｐゴシック" pitchFamily="50" charset="-128"/>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rPr>
            <a:t>　　　 がいる場合</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rPr>
            <a:t>　（６）年金収入があり、その方が令和７年１月２日以後に６５歳の誕生日を迎えた場合</a:t>
          </a:r>
          <a:endParaRPr kumimoji="0" lang="en-US" altLang="ja-JP" sz="870" b="0" i="0" u="none" strike="noStrike" kern="0" cap="none" spc="0" normalizeH="0" baseline="0" noProof="0">
            <a:ln>
              <a:noFill/>
            </a:ln>
            <a:solidFill>
              <a:schemeClr val="tx1"/>
            </a:solidFill>
            <a:effectLst/>
            <a:uLnTx/>
            <a:uFillTx/>
            <a:latin typeface="ＭＳ Ｐゴシック" pitchFamily="50" charset="-128"/>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rPr>
            <a:t>　（７）</a:t>
          </a:r>
          <a:r>
            <a:rPr lang="ja-JP" altLang="ja-JP" sz="870">
              <a:solidFill>
                <a:schemeClr val="tx1"/>
              </a:solidFill>
              <a:effectLst/>
              <a:latin typeface="+mn-lt"/>
              <a:ea typeface="+mn-ea"/>
              <a:cs typeface="+mn-cs"/>
            </a:rPr>
            <a:t>令和</a:t>
          </a:r>
          <a:r>
            <a:rPr lang="ja-JP" altLang="en-US" sz="870">
              <a:solidFill>
                <a:schemeClr val="tx1"/>
              </a:solidFill>
              <a:effectLst/>
              <a:latin typeface="+mn-lt"/>
              <a:ea typeface="+mn-ea"/>
              <a:cs typeface="+mn-cs"/>
            </a:rPr>
            <a:t>７</a:t>
          </a:r>
          <a:r>
            <a:rPr lang="ja-JP" altLang="ja-JP" sz="870">
              <a:solidFill>
                <a:schemeClr val="tx1"/>
              </a:solidFill>
              <a:effectLst/>
              <a:latin typeface="+mn-lt"/>
              <a:ea typeface="+mn-ea"/>
              <a:cs typeface="+mn-cs"/>
            </a:rPr>
            <a:t>年１月１日時点で６５歳未満の世帯主が国保に加入しない場合で、年金収入が</a:t>
          </a:r>
          <a:endParaRPr lang="en-US" altLang="ja-JP" sz="870">
            <a:solidFill>
              <a:schemeClr val="tx1"/>
            </a:solidFill>
            <a:effectLst/>
            <a:latin typeface="+mn-lt"/>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870">
              <a:solidFill>
                <a:schemeClr val="tx1"/>
              </a:solidFill>
              <a:effectLst/>
              <a:latin typeface="+mn-lt"/>
              <a:ea typeface="+mn-ea"/>
              <a:cs typeface="+mn-cs"/>
            </a:rPr>
            <a:t>　　　</a:t>
          </a:r>
          <a:r>
            <a:rPr lang="ja-JP" altLang="ja-JP" sz="870">
              <a:solidFill>
                <a:schemeClr val="tx1"/>
              </a:solidFill>
              <a:effectLst/>
              <a:latin typeface="+mn-lt"/>
              <a:ea typeface="+mn-ea"/>
              <a:cs typeface="+mn-cs"/>
            </a:rPr>
            <a:t>ある場合</a:t>
          </a:r>
          <a:endPar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rPr>
            <a:t>　（８）所得金額調整控除がある場合や、給与所得の特定支出控除がある場合等</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rPr>
            <a:t>　（９）専従者給与がある場合、または専従者控除を必要経費に算入している場合</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rPr>
            <a:t>　（</a:t>
          </a:r>
          <a:r>
            <a:rPr kumimoji="0" lang="en-US" altLang="ja-JP" sz="870" b="0" i="0" u="none" strike="noStrike" kern="0" cap="none" spc="0" normalizeH="0" baseline="0" noProof="0">
              <a:ln>
                <a:noFill/>
              </a:ln>
              <a:solidFill>
                <a:schemeClr val="tx1"/>
              </a:solidFill>
              <a:effectLst/>
              <a:uLnTx/>
              <a:uFillTx/>
              <a:latin typeface="ＭＳ Ｐゴシック" pitchFamily="50" charset="-128"/>
              <a:ea typeface="+mn-ea"/>
              <a:cs typeface="+mn-cs"/>
            </a:rPr>
            <a:t>10</a:t>
          </a:r>
          <a:r>
            <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rPr>
            <a:t>）分離課税所得（土地・株式等の譲渡所得等）がある場合</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rPr>
            <a:t>　（</a:t>
          </a:r>
          <a:r>
            <a:rPr kumimoji="0" lang="en-US" altLang="ja-JP" sz="870" b="0" i="0" u="none" strike="noStrike" kern="0" cap="none" spc="0" normalizeH="0" baseline="0" noProof="0">
              <a:ln>
                <a:noFill/>
              </a:ln>
              <a:solidFill>
                <a:schemeClr val="tx1"/>
              </a:solidFill>
              <a:effectLst/>
              <a:uLnTx/>
              <a:uFillTx/>
              <a:latin typeface="ＭＳ Ｐゴシック" pitchFamily="50" charset="-128"/>
              <a:ea typeface="+mn-ea"/>
              <a:cs typeface="+mn-cs"/>
            </a:rPr>
            <a:t>11</a:t>
          </a:r>
          <a:r>
            <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rPr>
            <a:t>）被用者保険の被保険者本人が後期高齢者医療制度に移行したことで、被扶養者が国</a:t>
          </a:r>
          <a:endParaRPr kumimoji="0" lang="en-US" altLang="ja-JP" sz="870" b="0" i="0" u="none" strike="noStrike" kern="0" cap="none" spc="0" normalizeH="0" baseline="0" noProof="0">
            <a:ln>
              <a:noFill/>
            </a:ln>
            <a:solidFill>
              <a:schemeClr val="tx1"/>
            </a:solidFill>
            <a:effectLst/>
            <a:uLnTx/>
            <a:uFillTx/>
            <a:latin typeface="ＭＳ Ｐゴシック" pitchFamily="50" charset="-128"/>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rPr>
            <a:t>　　　保加入（加入時に</a:t>
          </a:r>
          <a:r>
            <a:rPr kumimoji="0" lang="en-US" altLang="ja-JP" sz="870" b="0" i="0" u="none" strike="noStrike" kern="0" cap="none" spc="0" normalizeH="0" baseline="0" noProof="0">
              <a:ln>
                <a:noFill/>
              </a:ln>
              <a:solidFill>
                <a:schemeClr val="tx1"/>
              </a:solidFill>
              <a:effectLst/>
              <a:uLnTx/>
              <a:uFillTx/>
              <a:latin typeface="ＭＳ Ｐゴシック" pitchFamily="50" charset="-128"/>
              <a:ea typeface="+mn-ea"/>
              <a:cs typeface="+mn-cs"/>
            </a:rPr>
            <a:t>65</a:t>
          </a:r>
          <a:r>
            <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rPr>
            <a:t>歳以上の被扶養者のみ）した場合</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rPr>
            <a:t>　（</a:t>
          </a:r>
          <a:r>
            <a:rPr kumimoji="0" lang="en-US" altLang="ja-JP" sz="870" b="0" i="0" u="none" strike="noStrike" kern="0" cap="none" spc="0" normalizeH="0" baseline="0" noProof="0">
              <a:ln>
                <a:noFill/>
              </a:ln>
              <a:solidFill>
                <a:schemeClr val="tx1"/>
              </a:solidFill>
              <a:effectLst/>
              <a:uLnTx/>
              <a:uFillTx/>
              <a:latin typeface="ＭＳ Ｐゴシック" pitchFamily="50" charset="-128"/>
              <a:ea typeface="+mn-ea"/>
              <a:cs typeface="+mn-cs"/>
            </a:rPr>
            <a:t>12</a:t>
          </a:r>
          <a:r>
            <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rPr>
            <a:t>）倒産・解雇や雇い止めなどにより離職された方（非自発的失業者）に対する軽減措置</a:t>
          </a:r>
          <a:endParaRPr kumimoji="0" lang="en-US" altLang="ja-JP" sz="870" b="0" i="0" u="none" strike="noStrike" kern="0" cap="none" spc="0" normalizeH="0" baseline="0" noProof="0">
            <a:ln>
              <a:noFill/>
            </a:ln>
            <a:solidFill>
              <a:schemeClr val="tx1"/>
            </a:solidFill>
            <a:effectLst/>
            <a:uLnTx/>
            <a:uFillTx/>
            <a:latin typeface="ＭＳ Ｐゴシック" pitchFamily="50" charset="-128"/>
            <a:ea typeface="+mn-ea"/>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870" b="0" i="0" u="none" strike="noStrike" kern="0" cap="none" spc="0" normalizeH="0" baseline="0" noProof="0">
              <a:ln>
                <a:noFill/>
              </a:ln>
              <a:solidFill>
                <a:schemeClr val="tx1"/>
              </a:solidFill>
              <a:effectLst/>
              <a:uLnTx/>
              <a:uFillTx/>
              <a:latin typeface="ＭＳ Ｐゴシック" pitchFamily="50" charset="-128"/>
              <a:ea typeface="+mn-ea"/>
              <a:cs typeface="+mn-cs"/>
            </a:rPr>
            <a:t>　　　の条件に該当する場合</a:t>
          </a:r>
          <a:endParaRPr kumimoji="0" lang="en-US" altLang="ja-JP" sz="900" b="0" i="0" u="sng" strike="noStrike" kern="0" cap="none" spc="0" normalizeH="0" baseline="0">
            <a:ln>
              <a:noFill/>
            </a:ln>
            <a:solidFill>
              <a:schemeClr val="tx1"/>
            </a:solidFill>
            <a:effectLst/>
            <a:uLnTx/>
            <a:uFillTx/>
            <a:latin typeface="ＭＳ Ｐゴシック" pitchFamily="50" charset="-128"/>
            <a:ea typeface="ＭＳ Ｐゴシック" pitchFamily="50"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ja-JP" sz="900" b="0" i="0" u="none" strike="noStrike" kern="0" cap="none" spc="0" normalizeH="0" baseline="0">
            <a:ln>
              <a:noFill/>
            </a:ln>
            <a:solidFill>
              <a:srgbClr val="333333"/>
            </a:solidFill>
            <a:effectLst/>
            <a:uLnTx/>
            <a:uFillTx/>
            <a:latin typeface="ＭＳ Ｐゴシック" pitchFamily="50" charset="-128"/>
            <a:ea typeface="ＭＳ Ｐゴシック" pitchFamily="50" charset="-128"/>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endParaRPr kumimoji="0" lang="ja-JP" altLang="en-US" sz="900" b="0" i="0" u="none" strike="noStrike" kern="0" cap="none" spc="0" normalizeH="0" baseline="0" noProof="0">
            <a:ln>
              <a:noFill/>
            </a:ln>
            <a:solidFill>
              <a:srgbClr val="333333"/>
            </a:solidFill>
            <a:effectLst/>
            <a:uLnTx/>
            <a:uFillTx/>
            <a:latin typeface="ＭＳ Ｐゴシック" pitchFamily="50" charset="-128"/>
            <a:ea typeface="ＭＳ Ｐゴシック" pitchFamily="50" charset="-128"/>
            <a:cs typeface="+mn-cs"/>
          </a:endParaRPr>
        </a:p>
      </xdr:txBody>
    </xdr:sp>
    <xdr:clientData/>
  </xdr:twoCellAnchor>
  <xdr:twoCellAnchor>
    <xdr:from>
      <xdr:col>16</xdr:col>
      <xdr:colOff>10160</xdr:colOff>
      <xdr:row>27</xdr:row>
      <xdr:rowOff>68580</xdr:rowOff>
    </xdr:from>
    <xdr:to>
      <xdr:col>28</xdr:col>
      <xdr:colOff>59690</xdr:colOff>
      <xdr:row>46</xdr:row>
      <xdr:rowOff>212090</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a:xfrm>
          <a:off x="6189980" y="4724400"/>
          <a:ext cx="4591050" cy="3526790"/>
        </a:xfrm>
        <a:prstGeom prst="roundRect">
          <a:avLst>
            <a:gd name="adj" fmla="val 2514"/>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260350</xdr:colOff>
          <xdr:row>10</xdr:row>
          <xdr:rowOff>12700</xdr:rowOff>
        </xdr:from>
        <xdr:to>
          <xdr:col>10</xdr:col>
          <xdr:colOff>457200</xdr:colOff>
          <xdr:row>11</xdr:row>
          <xdr:rowOff>12700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11</xdr:row>
          <xdr:rowOff>0</xdr:rowOff>
        </xdr:from>
        <xdr:to>
          <xdr:col>10</xdr:col>
          <xdr:colOff>546100</xdr:colOff>
          <xdr:row>12</xdr:row>
          <xdr:rowOff>12700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11</xdr:row>
          <xdr:rowOff>165100</xdr:rowOff>
        </xdr:from>
        <xdr:to>
          <xdr:col>10</xdr:col>
          <xdr:colOff>546100</xdr:colOff>
          <xdr:row>13</xdr:row>
          <xdr:rowOff>12700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13</xdr:row>
          <xdr:rowOff>0</xdr:rowOff>
        </xdr:from>
        <xdr:to>
          <xdr:col>10</xdr:col>
          <xdr:colOff>546100</xdr:colOff>
          <xdr:row>14</xdr:row>
          <xdr:rowOff>12700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13</xdr:row>
          <xdr:rowOff>165100</xdr:rowOff>
        </xdr:from>
        <xdr:to>
          <xdr:col>10</xdr:col>
          <xdr:colOff>546100</xdr:colOff>
          <xdr:row>15</xdr:row>
          <xdr:rowOff>12700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260350</xdr:colOff>
          <xdr:row>15</xdr:row>
          <xdr:rowOff>0</xdr:rowOff>
        </xdr:from>
        <xdr:to>
          <xdr:col>10</xdr:col>
          <xdr:colOff>546100</xdr:colOff>
          <xdr:row>16</xdr:row>
          <xdr:rowOff>12700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190500</xdr:colOff>
      <xdr:row>58</xdr:row>
      <xdr:rowOff>66675</xdr:rowOff>
    </xdr:from>
    <xdr:to>
      <xdr:col>17</xdr:col>
      <xdr:colOff>600076</xdr:colOff>
      <xdr:row>64</xdr:row>
      <xdr:rowOff>38100</xdr:rowOff>
    </xdr:to>
    <xdr:cxnSp macro="">
      <xdr:nvCxnSpPr>
        <xdr:cNvPr id="5" name="直線矢印コネクタ 4">
          <a:extLst>
            <a:ext uri="{FF2B5EF4-FFF2-40B4-BE49-F238E27FC236}">
              <a16:creationId xmlns:a16="http://schemas.microsoft.com/office/drawing/2014/main" id="{00000000-0008-0000-0200-000005000000}"/>
            </a:ext>
          </a:extLst>
        </xdr:cNvPr>
        <xdr:cNvCxnSpPr/>
      </xdr:nvCxnSpPr>
      <xdr:spPr>
        <a:xfrm flipH="1">
          <a:off x="11953875" y="10363200"/>
          <a:ext cx="1133476" cy="100012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4</xdr:col>
          <xdr:colOff>438150</xdr:colOff>
          <xdr:row>52</xdr:row>
          <xdr:rowOff>12700</xdr:rowOff>
        </xdr:from>
        <xdr:to>
          <xdr:col>4</xdr:col>
          <xdr:colOff>641350</xdr:colOff>
          <xdr:row>53</xdr:row>
          <xdr:rowOff>12700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2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53</xdr:row>
          <xdr:rowOff>12700</xdr:rowOff>
        </xdr:from>
        <xdr:to>
          <xdr:col>4</xdr:col>
          <xdr:colOff>641350</xdr:colOff>
          <xdr:row>54</xdr:row>
          <xdr:rowOff>12700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2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54</xdr:row>
          <xdr:rowOff>12700</xdr:rowOff>
        </xdr:from>
        <xdr:to>
          <xdr:col>4</xdr:col>
          <xdr:colOff>641350</xdr:colOff>
          <xdr:row>55</xdr:row>
          <xdr:rowOff>12700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2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55</xdr:row>
          <xdr:rowOff>12700</xdr:rowOff>
        </xdr:from>
        <xdr:to>
          <xdr:col>4</xdr:col>
          <xdr:colOff>641350</xdr:colOff>
          <xdr:row>56</xdr:row>
          <xdr:rowOff>12700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2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56</xdr:row>
          <xdr:rowOff>12700</xdr:rowOff>
        </xdr:from>
        <xdr:to>
          <xdr:col>4</xdr:col>
          <xdr:colOff>641350</xdr:colOff>
          <xdr:row>57</xdr:row>
          <xdr:rowOff>12700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2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57</xdr:row>
          <xdr:rowOff>12700</xdr:rowOff>
        </xdr:from>
        <xdr:to>
          <xdr:col>4</xdr:col>
          <xdr:colOff>641350</xdr:colOff>
          <xdr:row>58</xdr:row>
          <xdr:rowOff>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2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431800</xdr:colOff>
          <xdr:row>12</xdr:row>
          <xdr:rowOff>165100</xdr:rowOff>
        </xdr:from>
        <xdr:to>
          <xdr:col>20</xdr:col>
          <xdr:colOff>19050</xdr:colOff>
          <xdr:row>14</xdr:row>
          <xdr:rowOff>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2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431800</xdr:colOff>
          <xdr:row>13</xdr:row>
          <xdr:rowOff>133350</xdr:rowOff>
        </xdr:from>
        <xdr:to>
          <xdr:col>20</xdr:col>
          <xdr:colOff>0</xdr:colOff>
          <xdr:row>15</xdr:row>
          <xdr:rowOff>38100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2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431800</xdr:colOff>
          <xdr:row>10</xdr:row>
          <xdr:rowOff>165100</xdr:rowOff>
        </xdr:from>
        <xdr:to>
          <xdr:col>19</xdr:col>
          <xdr:colOff>622300</xdr:colOff>
          <xdr:row>12</xdr:row>
          <xdr:rowOff>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2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431800</xdr:colOff>
          <xdr:row>11</xdr:row>
          <xdr:rowOff>152400</xdr:rowOff>
        </xdr:from>
        <xdr:to>
          <xdr:col>20</xdr:col>
          <xdr:colOff>12700</xdr:colOff>
          <xdr:row>13</xdr:row>
          <xdr:rowOff>31750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2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431800</xdr:colOff>
          <xdr:row>15</xdr:row>
          <xdr:rowOff>0</xdr:rowOff>
        </xdr:from>
        <xdr:to>
          <xdr:col>19</xdr:col>
          <xdr:colOff>622300</xdr:colOff>
          <xdr:row>16</xdr:row>
          <xdr:rowOff>12700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2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431800</xdr:colOff>
          <xdr:row>10</xdr:row>
          <xdr:rowOff>0</xdr:rowOff>
        </xdr:from>
        <xdr:to>
          <xdr:col>20</xdr:col>
          <xdr:colOff>0</xdr:colOff>
          <xdr:row>11</xdr:row>
          <xdr:rowOff>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2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2</xdr:row>
          <xdr:rowOff>88900</xdr:rowOff>
        </xdr:from>
        <xdr:to>
          <xdr:col>26</xdr:col>
          <xdr:colOff>412750</xdr:colOff>
          <xdr:row>3</xdr:row>
          <xdr:rowOff>114300</xdr:rowOff>
        </xdr:to>
        <xdr:sp macro="" textlink="">
          <xdr:nvSpPr>
            <xdr:cNvPr id="4173" name="Button 77" hidden="1">
              <a:extLst>
                <a:ext uri="{63B3BB69-23CF-44E3-9099-C40C66FF867C}">
                  <a14:compatExt spid="_x0000_s4173"/>
                </a:ext>
                <a:ext uri="{FF2B5EF4-FFF2-40B4-BE49-F238E27FC236}">
                  <a16:creationId xmlns:a16="http://schemas.microsoft.com/office/drawing/2014/main" id="{00000000-0008-0000-0200-00004D10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590550</xdr:colOff>
          <xdr:row>1</xdr:row>
          <xdr:rowOff>12700</xdr:rowOff>
        </xdr:from>
        <xdr:to>
          <xdr:col>45</xdr:col>
          <xdr:colOff>679450</xdr:colOff>
          <xdr:row>2</xdr:row>
          <xdr:rowOff>107950</xdr:rowOff>
        </xdr:to>
        <xdr:sp macro="" textlink="">
          <xdr:nvSpPr>
            <xdr:cNvPr id="4174" name="Button 78" hidden="1">
              <a:extLst>
                <a:ext uri="{63B3BB69-23CF-44E3-9099-C40C66FF867C}">
                  <a14:compatExt spid="_x0000_s4174"/>
                </a:ext>
                <a:ext uri="{FF2B5EF4-FFF2-40B4-BE49-F238E27FC236}">
                  <a16:creationId xmlns:a16="http://schemas.microsoft.com/office/drawing/2014/main" id="{00000000-0008-0000-0200-00004E10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期割入力①</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44</xdr:col>
          <xdr:colOff>590550</xdr:colOff>
          <xdr:row>3</xdr:row>
          <xdr:rowOff>19050</xdr:rowOff>
        </xdr:from>
        <xdr:to>
          <xdr:col>45</xdr:col>
          <xdr:colOff>679450</xdr:colOff>
          <xdr:row>4</xdr:row>
          <xdr:rowOff>114300</xdr:rowOff>
        </xdr:to>
        <xdr:sp macro="" textlink="">
          <xdr:nvSpPr>
            <xdr:cNvPr id="4175" name="Button 79" hidden="1">
              <a:extLst>
                <a:ext uri="{63B3BB69-23CF-44E3-9099-C40C66FF867C}">
                  <a14:compatExt spid="_x0000_s4175"/>
                </a:ext>
                <a:ext uri="{FF2B5EF4-FFF2-40B4-BE49-F238E27FC236}">
                  <a16:creationId xmlns:a16="http://schemas.microsoft.com/office/drawing/2014/main" id="{00000000-0008-0000-0200-00004F100000}"/>
                </a:ext>
              </a:extLst>
            </xdr:cNvPr>
            <xdr:cNvSpPr/>
          </xdr:nvSpPr>
          <xdr:spPr bwMode="auto">
            <a:xfrm>
              <a:off x="0" y="0"/>
              <a:ext cx="0" cy="0"/>
            </a:xfrm>
            <a:prstGeom prst="rect">
              <a:avLst/>
            </a:prstGeom>
            <a:noFill/>
            <a:ln w="9525">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期割入力②</a:t>
              </a:r>
            </a:p>
          </xdr:txBody>
        </xdr:sp>
        <xdr:clientData fPrintsWithSheet="0"/>
      </xdr:twoCellAnchor>
    </mc:Choice>
    <mc:Fallback/>
  </mc:AlternateContent>
  <xdr:twoCellAnchor>
    <xdr:from>
      <xdr:col>11</xdr:col>
      <xdr:colOff>171450</xdr:colOff>
      <xdr:row>65</xdr:row>
      <xdr:rowOff>95250</xdr:rowOff>
    </xdr:from>
    <xdr:to>
      <xdr:col>15</xdr:col>
      <xdr:colOff>476250</xdr:colOff>
      <xdr:row>66</xdr:row>
      <xdr:rowOff>104775</xdr:rowOff>
    </xdr:to>
    <xdr:cxnSp macro="">
      <xdr:nvCxnSpPr>
        <xdr:cNvPr id="24" name="直線矢印コネクタ 23">
          <a:extLst>
            <a:ext uri="{FF2B5EF4-FFF2-40B4-BE49-F238E27FC236}">
              <a16:creationId xmlns:a16="http://schemas.microsoft.com/office/drawing/2014/main" id="{00000000-0008-0000-0200-000018000000}"/>
            </a:ext>
          </a:extLst>
        </xdr:cNvPr>
        <xdr:cNvCxnSpPr/>
      </xdr:nvCxnSpPr>
      <xdr:spPr>
        <a:xfrm flipV="1">
          <a:off x="8315325" y="11534775"/>
          <a:ext cx="3200400" cy="1809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3" Type="http://schemas.openxmlformats.org/officeDocument/2006/relationships/vmlDrawing" Target="../drawings/vmlDrawing2.vm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omments" Target="../comments1.xml"/><Relationship Id="rId2" Type="http://schemas.openxmlformats.org/officeDocument/2006/relationships/drawing" Target="../drawings/drawing3.xm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printerSettings" Target="../printerSettings/printerSettings3.bin"/><Relationship Id="rId6" Type="http://schemas.openxmlformats.org/officeDocument/2006/relationships/ctrlProp" Target="../ctrlProps/ctrlProp9.x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ctrlProp" Target="../ctrlProps/ctrlProp8.xml"/><Relationship Id="rId15" Type="http://schemas.openxmlformats.org/officeDocument/2006/relationships/ctrlProp" Target="../ctrlProps/ctrlProp18.xml"/><Relationship Id="rId23" Type="http://schemas.openxmlformats.org/officeDocument/2006/relationships/ctrlProp" Target="../ctrlProps/ctrlProp26.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ctrlProp" Target="../ctrlProps/ctrlProp7.xml"/><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rgb="FF00B0F0"/>
    <pageSetUpPr fitToPage="1"/>
  </sheetPr>
  <dimension ref="A1:CC83"/>
  <sheetViews>
    <sheetView showGridLines="0" showRowColHeaders="0" tabSelected="1" zoomScaleNormal="100" workbookViewId="0">
      <selection sqref="A1:CC1"/>
    </sheetView>
  </sheetViews>
  <sheetFormatPr defaultRowHeight="13"/>
  <cols>
    <col min="1" max="50" width="2.08984375" customWidth="1"/>
    <col min="51" max="75" width="2.08984375" style="205" customWidth="1"/>
    <col min="76" max="81" width="2.08984375" customWidth="1"/>
  </cols>
  <sheetData>
    <row r="1" spans="1:81" ht="21.75" customHeight="1">
      <c r="A1" s="396" t="s">
        <v>233</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6"/>
      <c r="AE1" s="396"/>
      <c r="AF1" s="396"/>
      <c r="AG1" s="396"/>
      <c r="AH1" s="396"/>
      <c r="AI1" s="396"/>
      <c r="AJ1" s="396"/>
      <c r="AK1" s="396"/>
      <c r="AL1" s="396"/>
      <c r="AM1" s="396"/>
      <c r="AN1" s="396"/>
      <c r="AO1" s="396"/>
      <c r="AP1" s="396"/>
      <c r="AQ1" s="396"/>
      <c r="AR1" s="396"/>
      <c r="AS1" s="396"/>
      <c r="AT1" s="396"/>
      <c r="AU1" s="396"/>
      <c r="AV1" s="396"/>
      <c r="AW1" s="396"/>
      <c r="AX1" s="396"/>
      <c r="AY1" s="396"/>
      <c r="AZ1" s="396"/>
      <c r="BA1" s="396"/>
      <c r="BB1" s="396"/>
      <c r="BC1" s="396"/>
      <c r="BD1" s="396"/>
      <c r="BE1" s="396"/>
      <c r="BF1" s="396"/>
      <c r="BG1" s="396"/>
      <c r="BH1" s="396"/>
      <c r="BI1" s="396"/>
      <c r="BJ1" s="396"/>
      <c r="BK1" s="396"/>
      <c r="BL1" s="396"/>
      <c r="BM1" s="396"/>
      <c r="BN1" s="396"/>
      <c r="BO1" s="396"/>
      <c r="BP1" s="396"/>
      <c r="BQ1" s="396"/>
      <c r="BR1" s="396"/>
      <c r="BS1" s="396"/>
      <c r="BT1" s="396"/>
      <c r="BU1" s="396"/>
      <c r="BV1" s="396"/>
      <c r="BW1" s="396"/>
      <c r="BX1" s="396"/>
      <c r="BY1" s="396"/>
      <c r="BZ1" s="396"/>
      <c r="CA1" s="396"/>
      <c r="CB1" s="396"/>
      <c r="CC1" s="396"/>
    </row>
    <row r="3" spans="1:81" ht="16.5">
      <c r="A3" s="389" t="s">
        <v>157</v>
      </c>
      <c r="B3" s="389"/>
      <c r="C3" s="389"/>
      <c r="D3" s="389"/>
      <c r="E3" s="389"/>
      <c r="F3" s="389"/>
      <c r="G3" s="389"/>
      <c r="H3" s="389"/>
      <c r="I3" s="389"/>
      <c r="J3" s="389"/>
      <c r="K3" s="389"/>
      <c r="L3" s="389"/>
      <c r="M3" s="389"/>
      <c r="N3" s="389"/>
      <c r="O3" s="389"/>
      <c r="P3" s="389"/>
      <c r="Q3" s="389"/>
      <c r="R3" s="389"/>
      <c r="S3" s="389"/>
      <c r="T3" s="389"/>
      <c r="U3" s="389"/>
      <c r="V3" s="389"/>
      <c r="W3" s="389"/>
      <c r="X3" s="389"/>
      <c r="Y3" s="389"/>
      <c r="Z3" s="389"/>
      <c r="AA3" s="389"/>
      <c r="AB3" s="389"/>
      <c r="AC3" s="389"/>
      <c r="AD3" s="389"/>
      <c r="AE3" s="389"/>
      <c r="AF3" s="389"/>
      <c r="AG3" s="389"/>
      <c r="AH3" s="389"/>
      <c r="AI3" s="389"/>
      <c r="AJ3" s="389"/>
      <c r="AK3" s="389"/>
      <c r="AL3" s="389"/>
      <c r="AM3" s="389"/>
      <c r="AN3" s="390"/>
      <c r="AO3" s="208"/>
      <c r="AP3" s="217" t="s">
        <v>148</v>
      </c>
      <c r="AQ3" s="190"/>
      <c r="AR3" s="190"/>
      <c r="AS3" s="190"/>
      <c r="AT3" s="190"/>
      <c r="AU3" s="190"/>
      <c r="AV3" s="190"/>
      <c r="AW3" s="190"/>
      <c r="AX3" s="190"/>
    </row>
    <row r="4" spans="1:81">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8"/>
      <c r="AO4" s="208"/>
      <c r="AP4" s="190"/>
      <c r="AQ4" s="190"/>
      <c r="AR4" s="190"/>
      <c r="AS4" s="190"/>
      <c r="AT4" s="190"/>
      <c r="AU4" s="190"/>
      <c r="AV4" s="190"/>
      <c r="AW4" s="190"/>
      <c r="AX4" s="190"/>
    </row>
    <row r="5" spans="1:81" ht="17.25" customHeight="1">
      <c r="A5" s="389" t="s">
        <v>158</v>
      </c>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90"/>
      <c r="AO5" s="208"/>
      <c r="AP5" s="190"/>
      <c r="AQ5" s="190"/>
      <c r="AR5" s="190"/>
      <c r="AS5" s="190"/>
      <c r="AT5" s="190"/>
      <c r="AU5" s="190"/>
      <c r="AV5" s="190"/>
      <c r="AW5" s="190"/>
      <c r="AX5" s="190"/>
    </row>
    <row r="6" spans="1:81">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8"/>
      <c r="AO6" s="208"/>
      <c r="AP6" s="190"/>
      <c r="AQ6" s="190"/>
      <c r="AR6" s="190"/>
      <c r="AS6" s="190"/>
      <c r="AT6" s="190"/>
      <c r="AU6" s="190"/>
      <c r="AV6" s="190"/>
      <c r="AW6" s="190"/>
      <c r="AX6" s="190"/>
    </row>
    <row r="7" spans="1:81">
      <c r="A7" s="389" t="s">
        <v>146</v>
      </c>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90"/>
      <c r="AO7" s="208"/>
      <c r="AP7" s="190"/>
      <c r="AQ7" s="190"/>
      <c r="AR7" s="190"/>
      <c r="AS7" s="190"/>
      <c r="AT7" s="190"/>
      <c r="AU7" s="190"/>
      <c r="AV7" s="190"/>
      <c r="AW7" s="190"/>
      <c r="AX7" s="190"/>
    </row>
    <row r="8" spans="1:81">
      <c r="A8" s="190"/>
      <c r="B8" s="190"/>
      <c r="C8" s="190"/>
      <c r="D8" s="190"/>
      <c r="E8" s="190"/>
      <c r="F8" s="190"/>
      <c r="G8" s="190"/>
      <c r="H8" s="190"/>
      <c r="I8" s="190"/>
      <c r="J8" s="190"/>
      <c r="K8" s="190"/>
      <c r="L8" s="190"/>
      <c r="M8" s="190"/>
      <c r="N8" s="190"/>
      <c r="O8" s="190"/>
      <c r="P8" s="190"/>
      <c r="Q8" s="190"/>
      <c r="R8" s="190"/>
      <c r="S8" s="190"/>
      <c r="T8" s="190"/>
      <c r="U8" s="190"/>
      <c r="V8" s="190"/>
      <c r="W8" s="190"/>
      <c r="X8" s="190"/>
      <c r="Y8" s="190"/>
      <c r="Z8" s="190"/>
      <c r="AA8" s="190"/>
      <c r="AB8" s="190"/>
      <c r="AC8" s="190"/>
      <c r="AD8" s="190"/>
      <c r="AE8" s="190"/>
      <c r="AF8" s="190"/>
      <c r="AG8" s="190"/>
      <c r="AH8" s="190"/>
      <c r="AI8" s="190"/>
      <c r="AJ8" s="190"/>
      <c r="AK8" s="190"/>
      <c r="AL8" s="206"/>
      <c r="AM8" s="206"/>
      <c r="AN8" s="190"/>
      <c r="AO8" s="208"/>
      <c r="AP8" s="190"/>
      <c r="AQ8" s="190"/>
      <c r="AR8" s="190"/>
      <c r="AS8" s="190"/>
      <c r="AT8" s="190"/>
      <c r="AU8" s="190"/>
      <c r="AV8" s="190"/>
      <c r="AW8" s="190"/>
      <c r="AX8" s="190"/>
    </row>
    <row r="9" spans="1:81" ht="16.5">
      <c r="A9" s="394" t="s">
        <v>124</v>
      </c>
      <c r="B9" s="394"/>
      <c r="C9" s="394"/>
      <c r="D9" s="394"/>
      <c r="E9" s="394"/>
      <c r="F9" s="394"/>
      <c r="G9" s="394"/>
      <c r="H9" s="394"/>
      <c r="I9" s="394"/>
      <c r="J9" s="394"/>
      <c r="K9" s="394"/>
      <c r="L9" s="394"/>
      <c r="M9" s="394"/>
      <c r="N9" s="394"/>
      <c r="O9" s="394"/>
      <c r="P9" s="394"/>
      <c r="Q9" s="394"/>
      <c r="R9" s="394"/>
      <c r="S9" s="394"/>
      <c r="T9" s="394"/>
      <c r="U9" s="394"/>
      <c r="V9" s="394"/>
      <c r="W9" s="394"/>
      <c r="X9" s="394"/>
      <c r="Y9" s="394"/>
      <c r="Z9" s="394"/>
      <c r="AA9" s="394"/>
      <c r="AB9" s="394"/>
      <c r="AC9" s="394"/>
      <c r="AD9" s="394"/>
      <c r="AE9" s="394"/>
      <c r="AF9" s="394"/>
      <c r="AG9" s="394"/>
      <c r="AH9" s="394"/>
      <c r="AI9" s="394"/>
      <c r="AJ9" s="394"/>
      <c r="AK9" s="394"/>
      <c r="AL9" s="395"/>
      <c r="AM9" s="207"/>
      <c r="AN9" s="191"/>
      <c r="AO9" s="209"/>
      <c r="AP9" s="191"/>
      <c r="AQ9" s="191"/>
      <c r="AR9" s="191"/>
      <c r="AS9" s="191"/>
      <c r="AT9" s="191"/>
      <c r="AU9" s="191"/>
      <c r="AV9" s="191"/>
      <c r="AW9" s="191"/>
      <c r="AX9" s="191"/>
    </row>
    <row r="10" spans="1:81">
      <c r="AL10" s="206"/>
      <c r="AM10" s="206"/>
      <c r="AO10" s="208"/>
    </row>
    <row r="11" spans="1:81" ht="81.75" customHeight="1">
      <c r="B11" s="306" t="s">
        <v>147</v>
      </c>
      <c r="C11" s="307"/>
      <c r="D11" s="307"/>
      <c r="E11" s="307"/>
      <c r="F11" s="307"/>
      <c r="G11" s="307"/>
      <c r="H11" s="307"/>
      <c r="I11" s="308"/>
      <c r="K11" s="391" t="s">
        <v>149</v>
      </c>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392"/>
      <c r="AL11" s="392"/>
      <c r="AM11" s="393"/>
      <c r="AO11" s="208"/>
    </row>
    <row r="12" spans="1:81">
      <c r="AL12" s="206"/>
      <c r="AM12" s="206"/>
      <c r="AO12" s="208"/>
    </row>
    <row r="13" spans="1:81" ht="40.5" customHeight="1">
      <c r="B13" s="306" t="s">
        <v>205</v>
      </c>
      <c r="C13" s="307"/>
      <c r="D13" s="307"/>
      <c r="E13" s="307"/>
      <c r="F13" s="307"/>
      <c r="G13" s="307"/>
      <c r="H13" s="307"/>
      <c r="I13" s="308"/>
      <c r="K13" s="391" t="s">
        <v>234</v>
      </c>
      <c r="L13" s="392"/>
      <c r="M13" s="392"/>
      <c r="N13" s="392"/>
      <c r="O13" s="392"/>
      <c r="P13" s="392"/>
      <c r="Q13" s="392"/>
      <c r="R13" s="392"/>
      <c r="S13" s="392"/>
      <c r="T13" s="392"/>
      <c r="U13" s="392"/>
      <c r="V13" s="392"/>
      <c r="W13" s="392"/>
      <c r="X13" s="392"/>
      <c r="Y13" s="392"/>
      <c r="Z13" s="392"/>
      <c r="AA13" s="392"/>
      <c r="AB13" s="392"/>
      <c r="AC13" s="392"/>
      <c r="AD13" s="392"/>
      <c r="AE13" s="392"/>
      <c r="AF13" s="392"/>
      <c r="AG13" s="392"/>
      <c r="AH13" s="392"/>
      <c r="AI13" s="392"/>
      <c r="AJ13" s="392"/>
      <c r="AK13" s="392"/>
      <c r="AL13" s="392"/>
      <c r="AM13" s="393"/>
      <c r="AO13" s="208"/>
    </row>
    <row r="14" spans="1:81">
      <c r="AL14" s="206"/>
      <c r="AM14" s="206"/>
      <c r="AO14" s="208"/>
    </row>
    <row r="15" spans="1:81" ht="54.75" customHeight="1">
      <c r="B15" s="306" t="s">
        <v>206</v>
      </c>
      <c r="C15" s="307"/>
      <c r="D15" s="307"/>
      <c r="E15" s="307"/>
      <c r="F15" s="307"/>
      <c r="G15" s="307"/>
      <c r="H15" s="307"/>
      <c r="I15" s="308"/>
      <c r="K15" s="391" t="s">
        <v>235</v>
      </c>
      <c r="L15" s="392"/>
      <c r="M15" s="392"/>
      <c r="N15" s="392"/>
      <c r="O15" s="392"/>
      <c r="P15" s="392"/>
      <c r="Q15" s="392"/>
      <c r="R15" s="392"/>
      <c r="S15" s="392"/>
      <c r="T15" s="392"/>
      <c r="U15" s="392"/>
      <c r="V15" s="392"/>
      <c r="W15" s="392"/>
      <c r="X15" s="392"/>
      <c r="Y15" s="392"/>
      <c r="Z15" s="392"/>
      <c r="AA15" s="392"/>
      <c r="AB15" s="392"/>
      <c r="AC15" s="392"/>
      <c r="AD15" s="392"/>
      <c r="AE15" s="392"/>
      <c r="AF15" s="392"/>
      <c r="AG15" s="392"/>
      <c r="AH15" s="392"/>
      <c r="AI15" s="392"/>
      <c r="AJ15" s="392"/>
      <c r="AK15" s="392"/>
      <c r="AL15" s="392"/>
      <c r="AM15" s="393"/>
      <c r="AO15" s="208"/>
    </row>
    <row r="16" spans="1:81">
      <c r="AL16" s="206"/>
      <c r="AM16" s="206"/>
      <c r="AO16" s="208"/>
    </row>
    <row r="17" spans="2:75" ht="53.25" customHeight="1">
      <c r="B17" s="401" t="s">
        <v>207</v>
      </c>
      <c r="C17" s="402"/>
      <c r="D17" s="402"/>
      <c r="E17" s="402"/>
      <c r="F17" s="402"/>
      <c r="G17" s="402"/>
      <c r="H17" s="402"/>
      <c r="I17" s="403"/>
      <c r="K17" s="391" t="s">
        <v>236</v>
      </c>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2"/>
      <c r="AL17" s="392"/>
      <c r="AM17" s="393"/>
      <c r="AO17" s="208"/>
    </row>
    <row r="18" spans="2:75">
      <c r="AL18" s="206"/>
      <c r="AM18" s="206"/>
      <c r="AO18" s="208"/>
      <c r="AP18" s="190"/>
    </row>
    <row r="19" spans="2:75" ht="33" customHeight="1">
      <c r="B19" s="399" t="s">
        <v>218</v>
      </c>
      <c r="C19" s="400"/>
      <c r="D19" s="400"/>
      <c r="E19" s="400"/>
      <c r="F19" s="400"/>
      <c r="G19" s="400"/>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0"/>
      <c r="AK19" s="400"/>
      <c r="AL19" s="400"/>
      <c r="AM19" s="400"/>
      <c r="AO19" s="208"/>
    </row>
    <row r="20" spans="2:75">
      <c r="AL20" s="206"/>
      <c r="AM20" s="206"/>
      <c r="AO20" s="208"/>
    </row>
    <row r="21" spans="2:75">
      <c r="AL21" s="206"/>
      <c r="AM21" s="206"/>
      <c r="AO21" s="208"/>
    </row>
    <row r="22" spans="2:75">
      <c r="AL22" s="206"/>
      <c r="AM22" s="206"/>
      <c r="AO22" s="208"/>
    </row>
    <row r="23" spans="2:75">
      <c r="AL23" s="206"/>
      <c r="AM23" s="206"/>
      <c r="AO23" s="208"/>
    </row>
    <row r="24" spans="2:75">
      <c r="AL24" s="206"/>
      <c r="AM24" s="206"/>
      <c r="AO24" s="208"/>
    </row>
    <row r="25" spans="2:75">
      <c r="AL25" s="206"/>
      <c r="AM25" s="206"/>
      <c r="AO25" s="208"/>
    </row>
    <row r="26" spans="2:75">
      <c r="AL26" s="206"/>
      <c r="AM26" s="206"/>
      <c r="AO26" s="208"/>
    </row>
    <row r="27" spans="2:75">
      <c r="AL27" s="206"/>
      <c r="AM27" s="206"/>
      <c r="AO27" s="208"/>
    </row>
    <row r="28" spans="2:75">
      <c r="AL28" s="206"/>
      <c r="AM28" s="206"/>
      <c r="AO28" s="208"/>
    </row>
    <row r="29" spans="2:75">
      <c r="AO29" s="208"/>
    </row>
    <row r="30" spans="2:75">
      <c r="AL30" s="206"/>
      <c r="AM30" s="206"/>
      <c r="AO30" s="208"/>
    </row>
    <row r="31" spans="2:75">
      <c r="AL31" s="206"/>
      <c r="AM31" s="206"/>
      <c r="AO31" s="208"/>
      <c r="AP31" s="206"/>
    </row>
    <row r="32" spans="2:75" s="164" customFormat="1">
      <c r="AL32" s="206"/>
      <c r="AM32" s="206"/>
      <c r="AO32" s="208"/>
      <c r="AP32" s="206"/>
      <c r="AY32" s="205"/>
      <c r="AZ32" s="205"/>
      <c r="BA32" s="205"/>
      <c r="BB32" s="205"/>
      <c r="BC32" s="205"/>
      <c r="BD32" s="205"/>
      <c r="BE32" s="205"/>
      <c r="BF32" s="205"/>
      <c r="BG32" s="205"/>
      <c r="BH32" s="205"/>
      <c r="BI32" s="205"/>
      <c r="BJ32" s="205"/>
      <c r="BK32" s="205"/>
      <c r="BL32" s="205"/>
      <c r="BM32" s="205"/>
      <c r="BN32" s="205"/>
      <c r="BO32" s="205"/>
      <c r="BP32" s="205"/>
      <c r="BQ32" s="205"/>
      <c r="BR32" s="205"/>
      <c r="BS32" s="205"/>
      <c r="BT32" s="205"/>
      <c r="BU32" s="205"/>
      <c r="BV32" s="205"/>
      <c r="BW32" s="205"/>
    </row>
    <row r="33" spans="1:50">
      <c r="AL33" s="206"/>
      <c r="AM33" s="206"/>
      <c r="AO33" s="208"/>
      <c r="AP33" s="206"/>
    </row>
    <row r="34" spans="1:50" ht="14">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1"/>
      <c r="AL34" s="207"/>
      <c r="AM34" s="207"/>
      <c r="AN34" s="191"/>
      <c r="AO34" s="209"/>
      <c r="AP34" s="207"/>
      <c r="AQ34" s="191"/>
      <c r="AR34" s="191"/>
      <c r="AS34" s="191"/>
      <c r="AT34" s="191"/>
      <c r="AU34" s="191"/>
      <c r="AV34" s="191"/>
      <c r="AW34" s="191"/>
      <c r="AX34" s="191"/>
    </row>
    <row r="35" spans="1:50">
      <c r="AL35" s="206"/>
      <c r="AM35" s="206"/>
      <c r="AO35" s="208"/>
      <c r="AP35" s="206"/>
    </row>
    <row r="36" spans="1:50">
      <c r="AL36" s="206"/>
      <c r="AM36" s="206"/>
      <c r="AO36" s="208"/>
      <c r="AP36" s="206"/>
    </row>
    <row r="37" spans="1:50">
      <c r="AL37" s="206"/>
      <c r="AM37" s="206"/>
      <c r="AO37" s="208"/>
      <c r="AP37" s="206"/>
    </row>
    <row r="38" spans="1:50">
      <c r="AL38" s="206"/>
      <c r="AM38" s="206"/>
      <c r="AO38" s="206"/>
      <c r="AP38" s="206"/>
    </row>
    <row r="39" spans="1:50">
      <c r="AL39" s="206"/>
      <c r="AM39" s="206"/>
    </row>
    <row r="61" s="205" customFormat="1"/>
    <row r="62" s="205" customFormat="1"/>
    <row r="63" s="205" customFormat="1"/>
    <row r="64" s="205" customFormat="1"/>
    <row r="65" s="205" customFormat="1"/>
    <row r="66" s="205" customFormat="1"/>
    <row r="67" s="205" customFormat="1"/>
    <row r="68" s="205" customFormat="1"/>
    <row r="69" s="205" customFormat="1"/>
    <row r="70" s="205" customFormat="1"/>
    <row r="71" s="205" customFormat="1"/>
    <row r="72" s="205" customFormat="1"/>
    <row r="73" s="205" customFormat="1"/>
    <row r="74" s="205" customFormat="1"/>
    <row r="75" s="205" customFormat="1"/>
    <row r="76" s="205" customFormat="1"/>
    <row r="77" s="205" customFormat="1"/>
    <row r="78" s="205" customFormat="1"/>
    <row r="79" s="205" customFormat="1"/>
    <row r="80" s="205" customFormat="1"/>
    <row r="81" s="205" customFormat="1"/>
    <row r="82" s="205" customFormat="1"/>
    <row r="83" s="205" customFormat="1"/>
  </sheetData>
  <sheetProtection algorithmName="SHA-512" hashValue="SCscVrfG35xeBFNxVLlPHfnBVwFXp4NEIcUFutQlHeR4y91ON/xKe4ZKxeWO7DOvf5j+WJIgRk7HWGY4SytuBQ==" saltValue="AGsTmWGEEwPD2eXvfuBZ5A==" spinCount="100000" sheet="1" objects="1" scenarios="1" selectLockedCells="1"/>
  <mergeCells count="13">
    <mergeCell ref="K13:AM13"/>
    <mergeCell ref="K15:AM15"/>
    <mergeCell ref="K17:AM17"/>
    <mergeCell ref="B19:AM19"/>
    <mergeCell ref="B17:I17"/>
    <mergeCell ref="A7:AN7"/>
    <mergeCell ref="K11:AM11"/>
    <mergeCell ref="A9:AL9"/>
    <mergeCell ref="A1:CC1"/>
    <mergeCell ref="A3:AN3"/>
    <mergeCell ref="A4:AN4"/>
    <mergeCell ref="A5:AN5"/>
    <mergeCell ref="A6:AN6"/>
  </mergeCells>
  <phoneticPr fontId="28"/>
  <pageMargins left="0.31496062992125984" right="0.31496062992125984" top="0.35433070866141736" bottom="0.15748031496062992" header="0.31496062992125984" footer="0.11811023622047245"/>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pageSetUpPr fitToPage="1"/>
  </sheetPr>
  <dimension ref="A1:BD213"/>
  <sheetViews>
    <sheetView showGridLines="0" showRowColHeaders="0" topLeftCell="A25" zoomScaleNormal="100" workbookViewId="0">
      <selection activeCell="F12" sqref="F12"/>
    </sheetView>
  </sheetViews>
  <sheetFormatPr defaultColWidth="9" defaultRowHeight="13"/>
  <cols>
    <col min="1" max="1" width="1.7265625" style="26" customWidth="1"/>
    <col min="2" max="2" width="1.08984375" style="26" customWidth="1"/>
    <col min="3" max="3" width="6.7265625" style="26" customWidth="1"/>
    <col min="4" max="4" width="14" style="26" customWidth="1"/>
    <col min="5" max="5" width="4.26953125" style="26" customWidth="1"/>
    <col min="6" max="6" width="9.26953125" style="26" customWidth="1"/>
    <col min="7" max="7" width="3.26953125" style="26" customWidth="1"/>
    <col min="8" max="8" width="9.26953125" style="26" customWidth="1"/>
    <col min="9" max="9" width="3.26953125" style="26" customWidth="1"/>
    <col min="10" max="10" width="9.26953125" style="26" customWidth="1"/>
    <col min="11" max="11" width="3.26953125" style="26" customWidth="1"/>
    <col min="12" max="13" width="1.7265625" style="26" customWidth="1"/>
    <col min="14" max="14" width="11.453125" style="26" customWidth="1"/>
    <col min="15" max="15" width="6.36328125" style="26" customWidth="1"/>
    <col min="16" max="16" width="1.7265625" style="26" customWidth="1"/>
    <col min="17" max="17" width="1.08984375" style="26" customWidth="1"/>
    <col min="18" max="18" width="7.7265625" style="26" customWidth="1"/>
    <col min="19" max="19" width="1.26953125" style="26" customWidth="1"/>
    <col min="20" max="20" width="9.90625" style="26" customWidth="1"/>
    <col min="21" max="21" width="3.08984375" style="26" customWidth="1"/>
    <col min="22" max="22" width="9.90625" style="26" customWidth="1"/>
    <col min="23" max="23" width="3.08984375" style="26" customWidth="1"/>
    <col min="24" max="24" width="12.453125" style="26" customWidth="1"/>
    <col min="25" max="25" width="3.08984375" style="26" customWidth="1"/>
    <col min="26" max="26" width="10.08984375" style="26" customWidth="1"/>
    <col min="27" max="27" width="1.26953125" style="26" customWidth="1"/>
    <col min="28" max="28" width="2" style="26" customWidth="1"/>
    <col min="29" max="29" width="1" style="26" customWidth="1"/>
    <col min="30" max="30" width="3.08984375" style="26" customWidth="1"/>
    <col min="31" max="31" width="6.90625" style="26" customWidth="1"/>
    <col min="32" max="32" width="5.90625" style="26" customWidth="1"/>
    <col min="33" max="33" width="18.90625" style="26" customWidth="1"/>
    <col min="34" max="16384" width="9" style="26"/>
  </cols>
  <sheetData>
    <row r="1" spans="2:56" ht="6.75" customHeight="1" thickBot="1">
      <c r="AD1" s="79"/>
      <c r="AE1" s="79"/>
      <c r="AF1" s="79"/>
      <c r="AG1" s="79"/>
      <c r="AH1" s="79"/>
      <c r="AI1" s="79"/>
      <c r="AJ1" s="79"/>
      <c r="AK1" s="79"/>
      <c r="AL1" s="79"/>
      <c r="AM1" s="79"/>
      <c r="AN1" s="79"/>
      <c r="AO1" s="79"/>
      <c r="AP1" s="79"/>
      <c r="AQ1" s="79"/>
      <c r="AR1" s="79"/>
      <c r="AS1" s="79"/>
      <c r="AT1" s="79"/>
      <c r="AU1" s="79"/>
      <c r="AV1" s="79"/>
      <c r="AW1" s="79"/>
      <c r="AX1" s="79"/>
      <c r="AY1" s="79"/>
      <c r="AZ1" s="79"/>
      <c r="BA1" s="79"/>
      <c r="BB1" s="79"/>
      <c r="BC1" s="79"/>
      <c r="BD1" s="79"/>
    </row>
    <row r="2" spans="2:56" ht="22.5" customHeight="1" thickBot="1">
      <c r="C2" s="452" t="s">
        <v>232</v>
      </c>
      <c r="D2" s="453"/>
      <c r="E2" s="453"/>
      <c r="F2" s="453"/>
      <c r="G2" s="453"/>
      <c r="H2" s="453"/>
      <c r="I2" s="453"/>
      <c r="J2" s="453"/>
      <c r="K2" s="453"/>
      <c r="L2" s="453"/>
      <c r="M2" s="453"/>
      <c r="N2" s="453"/>
      <c r="O2" s="453"/>
      <c r="P2" s="453"/>
      <c r="Q2" s="453"/>
      <c r="R2" s="453"/>
      <c r="S2" s="453"/>
      <c r="T2" s="453"/>
      <c r="U2" s="453"/>
      <c r="V2" s="453"/>
      <c r="W2" s="453"/>
      <c r="X2" s="453"/>
      <c r="Y2" s="453"/>
      <c r="Z2" s="453"/>
      <c r="AA2" s="453"/>
      <c r="AB2" s="454"/>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row>
    <row r="3" spans="2:56" ht="6" customHeight="1">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row>
    <row r="4" spans="2:56" ht="14.25" customHeight="1">
      <c r="C4" s="466" t="s">
        <v>216</v>
      </c>
      <c r="D4" s="466"/>
      <c r="E4" s="466"/>
      <c r="F4" s="466"/>
      <c r="G4" s="466"/>
      <c r="H4" s="466"/>
      <c r="I4" s="466"/>
      <c r="J4" s="466"/>
      <c r="K4" s="466"/>
      <c r="L4" s="466"/>
      <c r="M4" s="466"/>
      <c r="N4" s="466"/>
      <c r="O4" s="466"/>
      <c r="P4" s="80"/>
      <c r="Q4" s="80"/>
      <c r="R4" s="455"/>
      <c r="S4" s="455"/>
      <c r="T4" s="455"/>
      <c r="U4" s="455"/>
      <c r="V4" s="455"/>
      <c r="W4" s="455"/>
      <c r="X4" s="455"/>
      <c r="Y4" s="80"/>
      <c r="Z4" s="80"/>
      <c r="AA4" s="81"/>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row>
    <row r="5" spans="2:56" ht="19.5" customHeight="1">
      <c r="C5" s="466"/>
      <c r="D5" s="466"/>
      <c r="E5" s="466"/>
      <c r="F5" s="466"/>
      <c r="G5" s="466"/>
      <c r="H5" s="466"/>
      <c r="I5" s="466"/>
      <c r="J5" s="466"/>
      <c r="K5" s="466"/>
      <c r="L5" s="466"/>
      <c r="M5" s="466"/>
      <c r="N5" s="466"/>
      <c r="O5" s="466"/>
      <c r="P5" s="82"/>
      <c r="AD5" s="79"/>
      <c r="AE5" s="79"/>
      <c r="AF5" s="79"/>
      <c r="AG5" s="79"/>
      <c r="AH5" s="79"/>
      <c r="AI5" s="79"/>
      <c r="AJ5" s="79"/>
      <c r="AK5" s="79"/>
      <c r="AL5" s="79"/>
      <c r="AM5" s="79"/>
      <c r="AN5" s="79"/>
      <c r="AO5" s="79"/>
      <c r="AP5" s="79"/>
      <c r="AQ5" s="79"/>
      <c r="AR5" s="79"/>
      <c r="AS5" s="79"/>
      <c r="AT5" s="79"/>
      <c r="AU5" s="79"/>
      <c r="AV5" s="79"/>
      <c r="AW5" s="79"/>
      <c r="AX5" s="79"/>
      <c r="AY5" s="79"/>
      <c r="AZ5" s="79"/>
      <c r="BA5" s="79"/>
      <c r="BB5" s="79"/>
      <c r="BC5" s="79"/>
      <c r="BD5" s="79"/>
    </row>
    <row r="6" spans="2:56" ht="18" customHeight="1">
      <c r="C6" s="82"/>
      <c r="D6" s="83" t="s">
        <v>118</v>
      </c>
      <c r="E6" s="82"/>
      <c r="F6" s="82"/>
      <c r="G6" s="82"/>
      <c r="H6" s="82"/>
      <c r="I6" s="82"/>
      <c r="J6" s="82"/>
      <c r="K6" s="82"/>
      <c r="L6" s="82"/>
      <c r="M6" s="82"/>
      <c r="N6" s="240"/>
      <c r="O6" s="82"/>
      <c r="P6" s="82"/>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row>
    <row r="7" spans="2:56" ht="6.75" customHeight="1" thickBot="1">
      <c r="C7" s="84"/>
      <c r="AD7" s="79"/>
      <c r="AE7" s="79"/>
      <c r="AF7" s="79"/>
      <c r="AG7" s="79"/>
      <c r="AH7" s="79"/>
      <c r="AI7" s="79"/>
      <c r="AJ7" s="79"/>
      <c r="AK7" s="79"/>
      <c r="AL7" s="79"/>
      <c r="AM7" s="79"/>
      <c r="AN7" s="79"/>
      <c r="AO7" s="79"/>
      <c r="AP7" s="79"/>
      <c r="AQ7" s="79"/>
      <c r="AR7" s="79"/>
      <c r="AS7" s="79"/>
      <c r="AT7" s="79"/>
      <c r="AU7" s="79"/>
      <c r="AV7" s="79"/>
      <c r="AW7" s="79"/>
      <c r="AX7" s="79"/>
      <c r="AY7" s="79"/>
      <c r="AZ7" s="79"/>
      <c r="BA7" s="79"/>
      <c r="BB7" s="79"/>
      <c r="BC7" s="79"/>
      <c r="BD7" s="79"/>
    </row>
    <row r="8" spans="2:56" ht="9" customHeight="1" thickTop="1">
      <c r="B8" s="85"/>
      <c r="C8" s="86"/>
      <c r="D8" s="86"/>
      <c r="E8" s="86"/>
      <c r="F8" s="86"/>
      <c r="G8" s="86"/>
      <c r="H8" s="86"/>
      <c r="I8" s="86"/>
      <c r="J8" s="86"/>
      <c r="K8" s="86"/>
      <c r="L8" s="87"/>
      <c r="M8" s="193"/>
      <c r="N8" s="89"/>
      <c r="O8" s="90"/>
      <c r="Q8" s="88"/>
      <c r="R8" s="89"/>
      <c r="S8" s="89"/>
      <c r="T8" s="89"/>
      <c r="U8" s="89"/>
      <c r="V8" s="89"/>
      <c r="W8" s="89"/>
      <c r="X8" s="89"/>
      <c r="Y8" s="89"/>
      <c r="Z8" s="89"/>
      <c r="AA8" s="89"/>
      <c r="AB8" s="90"/>
      <c r="AD8" s="79"/>
      <c r="AE8" s="79"/>
      <c r="AF8" s="79"/>
      <c r="AG8" s="79"/>
      <c r="AH8" s="79"/>
      <c r="AI8" s="79"/>
      <c r="AJ8" s="79"/>
      <c r="AK8" s="79"/>
      <c r="AL8" s="79"/>
      <c r="AM8" s="79"/>
      <c r="AN8" s="79"/>
      <c r="AO8" s="79"/>
      <c r="AP8" s="79"/>
      <c r="AQ8" s="79"/>
      <c r="AR8" s="79"/>
      <c r="AS8" s="79"/>
      <c r="AT8" s="79"/>
      <c r="AU8" s="79"/>
      <c r="AV8" s="79"/>
      <c r="AW8" s="79"/>
      <c r="AX8" s="79"/>
      <c r="AY8" s="79"/>
      <c r="AZ8" s="79"/>
      <c r="BA8" s="79"/>
      <c r="BB8" s="79"/>
      <c r="BC8" s="79"/>
      <c r="BD8" s="79"/>
    </row>
    <row r="9" spans="2:56" ht="14.25" customHeight="1">
      <c r="B9" s="91"/>
      <c r="C9" s="92"/>
      <c r="D9" s="460" t="s">
        <v>53</v>
      </c>
      <c r="E9" s="92"/>
      <c r="F9" s="404" t="s">
        <v>140</v>
      </c>
      <c r="G9" s="202"/>
      <c r="H9" s="404" t="s">
        <v>139</v>
      </c>
      <c r="I9" s="202"/>
      <c r="J9" s="404" t="s">
        <v>204</v>
      </c>
      <c r="K9" s="201"/>
      <c r="L9" s="93"/>
      <c r="M9" s="36"/>
      <c r="N9" s="461" t="s">
        <v>145</v>
      </c>
      <c r="O9" s="194"/>
      <c r="Q9" s="94"/>
      <c r="R9" s="95" t="s">
        <v>69</v>
      </c>
      <c r="S9" s="96"/>
      <c r="T9" s="456" t="s">
        <v>40</v>
      </c>
      <c r="U9" s="96"/>
      <c r="V9" s="456" t="s">
        <v>43</v>
      </c>
      <c r="W9" s="96"/>
      <c r="X9" s="458" t="str">
        <f>表!H1</f>
        <v>所 得 割</v>
      </c>
      <c r="Y9" s="96"/>
      <c r="Z9" s="458" t="s">
        <v>44</v>
      </c>
      <c r="AA9" s="29"/>
      <c r="AB9" s="204"/>
      <c r="AD9" s="79"/>
      <c r="AE9" s="79"/>
      <c r="AF9" s="79"/>
      <c r="AG9" s="79"/>
      <c r="AH9" s="79"/>
      <c r="AI9" s="79"/>
      <c r="AJ9" s="79"/>
      <c r="AK9" s="79"/>
      <c r="AL9" s="79"/>
      <c r="AM9" s="79"/>
      <c r="AN9" s="79"/>
      <c r="AO9" s="79"/>
      <c r="AP9" s="79"/>
      <c r="AQ9" s="79"/>
      <c r="AR9" s="79"/>
      <c r="AS9" s="79"/>
      <c r="AT9" s="79"/>
      <c r="AU9" s="79"/>
      <c r="AV9" s="79"/>
      <c r="AW9" s="79"/>
      <c r="AX9" s="79"/>
      <c r="AY9" s="79"/>
      <c r="AZ9" s="79"/>
      <c r="BA9" s="79"/>
      <c r="BB9" s="79"/>
      <c r="BC9" s="79"/>
      <c r="BD9" s="79"/>
    </row>
    <row r="10" spans="2:56" ht="14.25" customHeight="1">
      <c r="B10" s="91"/>
      <c r="C10" s="92"/>
      <c r="D10" s="460"/>
      <c r="E10" s="92"/>
      <c r="F10" s="404"/>
      <c r="G10" s="203"/>
      <c r="H10" s="404"/>
      <c r="I10" s="203"/>
      <c r="J10" s="404"/>
      <c r="K10" s="98"/>
      <c r="L10" s="93"/>
      <c r="M10" s="36"/>
      <c r="N10" s="461"/>
      <c r="O10" s="194"/>
      <c r="P10" s="99"/>
      <c r="Q10" s="94"/>
      <c r="R10" s="95"/>
      <c r="S10" s="96"/>
      <c r="T10" s="457"/>
      <c r="U10" s="96"/>
      <c r="V10" s="457"/>
      <c r="W10" s="100"/>
      <c r="X10" s="459"/>
      <c r="Y10" s="96"/>
      <c r="Z10" s="459"/>
      <c r="AA10" s="29"/>
      <c r="AB10" s="204"/>
      <c r="AD10" s="79"/>
      <c r="AE10" s="79"/>
      <c r="AF10" s="79"/>
      <c r="AG10" s="79"/>
      <c r="AH10" s="79"/>
      <c r="AI10" s="79"/>
      <c r="AJ10" s="79"/>
      <c r="AK10" s="79"/>
      <c r="AL10" s="79"/>
      <c r="AM10" s="79"/>
      <c r="AN10" s="79"/>
      <c r="AO10" s="79"/>
      <c r="AP10" s="79"/>
      <c r="AQ10" s="79"/>
      <c r="AR10" s="79"/>
      <c r="AS10" s="79"/>
      <c r="AT10" s="79"/>
      <c r="AU10" s="79"/>
      <c r="AV10" s="79"/>
      <c r="AW10" s="79"/>
      <c r="AX10" s="79"/>
      <c r="AY10" s="79"/>
      <c r="AZ10" s="79"/>
      <c r="BA10" s="79"/>
      <c r="BB10" s="79"/>
      <c r="BC10" s="79"/>
      <c r="BD10" s="79"/>
    </row>
    <row r="11" spans="2:56" ht="12.75" customHeight="1">
      <c r="B11" s="91"/>
      <c r="C11" s="92"/>
      <c r="D11" s="92"/>
      <c r="E11" s="92"/>
      <c r="F11" s="101"/>
      <c r="G11" s="102"/>
      <c r="H11" s="101"/>
      <c r="I11" s="102"/>
      <c r="J11" s="463"/>
      <c r="K11" s="463"/>
      <c r="L11" s="93"/>
      <c r="M11" s="36"/>
      <c r="N11" s="36"/>
      <c r="O11" s="97"/>
      <c r="P11" s="99"/>
      <c r="Q11" s="94"/>
      <c r="R11" s="36"/>
      <c r="S11" s="36"/>
      <c r="T11" s="89" t="str">
        <f>IF(表!$J$33&lt;&gt;0,"*","")</f>
        <v/>
      </c>
      <c r="U11" s="36"/>
      <c r="V11" s="89" t="str">
        <f>IF(OR(表!F33&lt;&gt;1,表!K33&lt;&gt;"なし"),"*","")</f>
        <v/>
      </c>
      <c r="W11" s="36"/>
      <c r="X11" s="89"/>
      <c r="Y11" s="36"/>
      <c r="Z11" s="89"/>
      <c r="AA11" s="36"/>
      <c r="AB11" s="97"/>
      <c r="AD11" s="79"/>
      <c r="AE11" s="79"/>
      <c r="AF11" s="79"/>
      <c r="AG11" s="79"/>
      <c r="AH11" s="79"/>
      <c r="AI11" s="79"/>
      <c r="AJ11" s="79"/>
      <c r="AK11" s="79"/>
      <c r="AL11" s="79"/>
      <c r="AM11" s="79"/>
      <c r="AN11" s="79"/>
      <c r="AO11" s="79"/>
      <c r="AP11" s="79"/>
      <c r="AQ11" s="79"/>
      <c r="AR11" s="79"/>
      <c r="AS11" s="79"/>
      <c r="AT11" s="79"/>
      <c r="AU11" s="79"/>
      <c r="AV11" s="79"/>
      <c r="AW11" s="79"/>
      <c r="AX11" s="79"/>
      <c r="AY11" s="79"/>
      <c r="AZ11" s="79"/>
      <c r="BA11" s="79"/>
      <c r="BB11" s="79"/>
      <c r="BC11" s="79"/>
      <c r="BD11" s="79"/>
    </row>
    <row r="12" spans="2:56" ht="15" customHeight="1">
      <c r="B12" s="91"/>
      <c r="C12" s="103" t="s">
        <v>0</v>
      </c>
      <c r="D12" s="92"/>
      <c r="E12" s="92"/>
      <c r="F12" s="200">
        <v>0</v>
      </c>
      <c r="G12" s="104" t="s">
        <v>54</v>
      </c>
      <c r="H12" s="200">
        <v>0</v>
      </c>
      <c r="I12" s="104" t="s">
        <v>54</v>
      </c>
      <c r="J12" s="218">
        <v>0</v>
      </c>
      <c r="K12" s="104" t="s">
        <v>54</v>
      </c>
      <c r="L12" s="210" t="str">
        <f>IF(表!C11=TRUE,"非自","")</f>
        <v/>
      </c>
      <c r="M12" s="36"/>
      <c r="N12" s="195">
        <f>IF(SUM(F13,H13,J13)&lt;0,0,SUM(F13,H13,J13))</f>
        <v>0</v>
      </c>
      <c r="O12" s="196" t="str">
        <f>IF(表!D11=0,"","医支")&amp;IF(表!E11=0,"","介")</f>
        <v/>
      </c>
      <c r="P12" s="99"/>
      <c r="Q12" s="106"/>
      <c r="R12" s="107" t="s">
        <v>39</v>
      </c>
      <c r="S12" s="108"/>
      <c r="T12" s="109">
        <f>表!F21</f>
        <v>0</v>
      </c>
      <c r="U12" s="110" t="s">
        <v>119</v>
      </c>
      <c r="V12" s="109">
        <f>表!G21</f>
        <v>0</v>
      </c>
      <c r="W12" s="110" t="s">
        <v>120</v>
      </c>
      <c r="X12" s="109">
        <f>表!H21</f>
        <v>0</v>
      </c>
      <c r="Y12" s="111" t="s">
        <v>121</v>
      </c>
      <c r="Z12" s="109">
        <f>表!I21</f>
        <v>0</v>
      </c>
      <c r="AA12" s="237" t="str">
        <f>IF(Z12&lt;T12+V12+X12,"*","")</f>
        <v/>
      </c>
      <c r="AB12" s="112"/>
      <c r="AD12" s="79"/>
      <c r="AE12" s="79"/>
      <c r="AF12" s="79"/>
      <c r="AG12" s="79"/>
      <c r="AH12" s="79"/>
      <c r="AI12" s="79"/>
      <c r="AJ12" s="79"/>
      <c r="AK12" s="79"/>
      <c r="AL12" s="79"/>
      <c r="AM12" s="79"/>
      <c r="AN12" s="79"/>
      <c r="AO12" s="79"/>
      <c r="AP12" s="79"/>
      <c r="AQ12" s="79"/>
      <c r="AR12" s="79"/>
      <c r="AS12" s="79"/>
      <c r="AT12" s="79"/>
      <c r="AU12" s="79"/>
      <c r="AV12" s="79"/>
      <c r="AW12" s="79"/>
      <c r="AX12" s="79"/>
      <c r="AY12" s="79"/>
      <c r="AZ12" s="79"/>
      <c r="BA12" s="79"/>
      <c r="BB12" s="79"/>
      <c r="BC12" s="79"/>
      <c r="BD12" s="79"/>
    </row>
    <row r="13" spans="2:56" ht="12.75" customHeight="1">
      <c r="B13" s="91"/>
      <c r="C13" s="113" t="str">
        <f>IF(D13="","",表!O20)</f>
        <v/>
      </c>
      <c r="D13" s="353"/>
      <c r="E13" s="232" t="str">
        <f>"(所得)"&amp;IF(表!C53=表!J53,"","*")</f>
        <v>(所得)</v>
      </c>
      <c r="F13" s="462">
        <f>表!M11</f>
        <v>0</v>
      </c>
      <c r="G13" s="462"/>
      <c r="H13" s="115">
        <f>表!O11</f>
        <v>0</v>
      </c>
      <c r="I13" s="104" t="str">
        <f>IF(AND(H13&gt;1,表!B11&gt;=4),"*","")</f>
        <v/>
      </c>
      <c r="J13" s="116">
        <f>表!P11</f>
        <v>0</v>
      </c>
      <c r="K13" s="117"/>
      <c r="L13" s="105"/>
      <c r="M13" s="36"/>
      <c r="N13" s="197">
        <f>表!H11</f>
        <v>0</v>
      </c>
      <c r="O13" s="198"/>
      <c r="P13" s="99"/>
      <c r="Q13" s="106"/>
      <c r="R13" s="376"/>
      <c r="S13" s="377"/>
      <c r="T13" s="378" t="str">
        <f>TEXT(表!F2-ROUNDUP(表!F2*表!B21,0),"#,###")&amp;"円×"&amp;表!D17&amp;"人"</f>
        <v>9,039円×0人</v>
      </c>
      <c r="U13" s="379"/>
      <c r="V13" s="379"/>
      <c r="W13" s="379"/>
      <c r="X13" s="380" t="str">
        <f>TEXT(表!I17,"#,###円")&amp;"×"&amp;表!H2*100&amp;"/100"</f>
        <v>円×8.3/100</v>
      </c>
      <c r="Y13" s="377"/>
      <c r="Z13" s="380" t="str">
        <f>"限度額"&amp;DBCS(表!I2/10000)&amp;"万円"</f>
        <v>限度額６６万円</v>
      </c>
      <c r="AA13" s="377"/>
      <c r="AB13" s="381"/>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row>
    <row r="14" spans="2:56" ht="15" customHeight="1">
      <c r="B14" s="91"/>
      <c r="C14" s="103" t="s">
        <v>1</v>
      </c>
      <c r="D14" s="92"/>
      <c r="E14" s="92"/>
      <c r="F14" s="200">
        <v>0</v>
      </c>
      <c r="G14" s="104" t="s">
        <v>54</v>
      </c>
      <c r="H14" s="200">
        <v>0</v>
      </c>
      <c r="I14" s="104" t="s">
        <v>54</v>
      </c>
      <c r="J14" s="218">
        <v>0</v>
      </c>
      <c r="K14" s="104" t="s">
        <v>54</v>
      </c>
      <c r="L14" s="210" t="str">
        <f>IF(表!C12=TRUE,"非自","")</f>
        <v/>
      </c>
      <c r="M14" s="36"/>
      <c r="N14" s="195">
        <f>IF(SUM(F15,H15,J15)&lt;0,0,SUM(F15,H15,J15))</f>
        <v>0</v>
      </c>
      <c r="O14" s="196" t="str">
        <f>IF(表!D12=0,"","医支")&amp;IF(表!E12=0,"","介")</f>
        <v/>
      </c>
      <c r="P14" s="121"/>
      <c r="Q14" s="118"/>
      <c r="R14" s="374" t="str">
        <f>IF(表!B44&gt;=1,"未就学減","")</f>
        <v/>
      </c>
      <c r="S14" s="367"/>
      <c r="T14" s="375" t="str">
        <f>IF(表!B44&gt;=1,TEXT(表!D46,"#,###")&amp;"円×"&amp;表!B44&amp;"人","")</f>
        <v/>
      </c>
      <c r="U14" s="367"/>
      <c r="V14" s="368"/>
      <c r="W14" s="367"/>
      <c r="X14" s="367"/>
      <c r="Y14" s="367"/>
      <c r="Z14" s="367"/>
      <c r="AA14" s="367"/>
      <c r="AB14" s="36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row>
    <row r="15" spans="2:56" ht="12.75" customHeight="1">
      <c r="B15" s="91"/>
      <c r="C15" s="113" t="str">
        <f>IF(D15="","",表!O21)</f>
        <v/>
      </c>
      <c r="D15" s="353"/>
      <c r="E15" s="114" t="str">
        <f>"(所得)"&amp;IF(表!C54=表!J54,"","*")</f>
        <v>(所得)</v>
      </c>
      <c r="F15" s="414">
        <f>表!M12</f>
        <v>0</v>
      </c>
      <c r="G15" s="414"/>
      <c r="H15" s="115">
        <f>表!O12</f>
        <v>0</v>
      </c>
      <c r="I15" s="104" t="str">
        <f>IF(AND(H15&gt;=1,表!B12&gt;=4),"*","")</f>
        <v/>
      </c>
      <c r="J15" s="116">
        <f>表!P12</f>
        <v>0</v>
      </c>
      <c r="K15" s="117"/>
      <c r="L15" s="105"/>
      <c r="M15" s="36"/>
      <c r="N15" s="197">
        <f>表!H12</f>
        <v>0</v>
      </c>
      <c r="O15" s="198"/>
      <c r="P15" s="122"/>
      <c r="Q15" s="118"/>
      <c r="R15" s="119"/>
      <c r="S15" s="36"/>
      <c r="T15" s="36" t="str">
        <f>IF(表!J33&lt;&gt;0,"*","")</f>
        <v/>
      </c>
      <c r="U15" s="36"/>
      <c r="V15" s="36" t="str">
        <f>IF(OR(表!F33&lt;&gt;1,表!K33&lt;&gt;"なし"),"*","")</f>
        <v/>
      </c>
      <c r="W15" s="36"/>
      <c r="X15" s="36"/>
      <c r="Y15" s="36"/>
      <c r="Z15" s="36"/>
      <c r="AA15" s="36"/>
      <c r="AB15" s="120"/>
      <c r="AD15" s="79"/>
      <c r="AE15" s="350"/>
      <c r="AF15" s="350"/>
      <c r="AG15" s="79"/>
      <c r="AH15" s="79"/>
      <c r="AI15" s="79"/>
      <c r="AJ15" s="79"/>
      <c r="AK15" s="79"/>
      <c r="AL15" s="79"/>
      <c r="AM15" s="79"/>
      <c r="AN15" s="79"/>
      <c r="AO15" s="79"/>
      <c r="AP15" s="79"/>
      <c r="AQ15" s="79"/>
      <c r="AR15" s="79"/>
      <c r="AS15" s="79"/>
      <c r="AT15" s="79"/>
      <c r="AU15" s="79"/>
      <c r="AV15" s="79"/>
      <c r="AW15" s="79"/>
      <c r="AX15" s="79"/>
      <c r="AY15" s="79"/>
      <c r="AZ15" s="79"/>
      <c r="BA15" s="79"/>
      <c r="BB15" s="79"/>
      <c r="BC15" s="79"/>
      <c r="BD15" s="79"/>
    </row>
    <row r="16" spans="2:56" ht="15" customHeight="1">
      <c r="B16" s="91"/>
      <c r="C16" s="103" t="s">
        <v>2</v>
      </c>
      <c r="D16" s="92"/>
      <c r="E16" s="92"/>
      <c r="F16" s="200">
        <v>0</v>
      </c>
      <c r="G16" s="104" t="s">
        <v>54</v>
      </c>
      <c r="H16" s="200">
        <v>0</v>
      </c>
      <c r="I16" s="104" t="s">
        <v>54</v>
      </c>
      <c r="J16" s="218">
        <v>0</v>
      </c>
      <c r="K16" s="104" t="s">
        <v>54</v>
      </c>
      <c r="L16" s="210" t="str">
        <f>IF(表!C13=TRUE,"非自","")</f>
        <v/>
      </c>
      <c r="M16" s="36"/>
      <c r="N16" s="195">
        <f>IF(SUM(F17,H17,J17)&lt;0,0,SUM(F17,H17,J17))</f>
        <v>0</v>
      </c>
      <c r="O16" s="196" t="str">
        <f>IF(表!D13=0,"","医支")&amp;IF(表!E13=0,"","介")</f>
        <v/>
      </c>
      <c r="P16" s="121"/>
      <c r="Q16" s="106"/>
      <c r="R16" s="123" t="s">
        <v>41</v>
      </c>
      <c r="S16" s="124"/>
      <c r="T16" s="125">
        <f>表!F22</f>
        <v>0</v>
      </c>
      <c r="U16" s="126" t="s">
        <v>119</v>
      </c>
      <c r="V16" s="125">
        <f>表!G22</f>
        <v>0</v>
      </c>
      <c r="W16" s="126" t="s">
        <v>120</v>
      </c>
      <c r="X16" s="125">
        <f>表!H22</f>
        <v>0</v>
      </c>
      <c r="Y16" s="127" t="s">
        <v>70</v>
      </c>
      <c r="Z16" s="125">
        <f>表!I22</f>
        <v>0</v>
      </c>
      <c r="AA16" s="128" t="str">
        <f>IF(Z16&lt;T16+V16+X16,"*","")</f>
        <v/>
      </c>
      <c r="AB16" s="129"/>
      <c r="AD16" s="79"/>
      <c r="AE16" s="352"/>
      <c r="AF16" s="351"/>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row>
    <row r="17" spans="2:56" ht="12.75" customHeight="1">
      <c r="B17" s="91"/>
      <c r="C17" s="113" t="str">
        <f>IF(D17="","",表!O22)</f>
        <v/>
      </c>
      <c r="D17" s="353"/>
      <c r="E17" s="114" t="str">
        <f>"(所得)"&amp;IF(表!C55=表!J55,"","*")</f>
        <v>(所得)</v>
      </c>
      <c r="F17" s="414">
        <f>表!M13</f>
        <v>0</v>
      </c>
      <c r="G17" s="414"/>
      <c r="H17" s="115">
        <f>表!O13</f>
        <v>0</v>
      </c>
      <c r="I17" s="104" t="str">
        <f>IF(AND(H17&gt;=1,表!B13&gt;=4),"*","")</f>
        <v/>
      </c>
      <c r="J17" s="116">
        <f>表!P13</f>
        <v>0</v>
      </c>
      <c r="K17" s="117"/>
      <c r="L17" s="105"/>
      <c r="M17" s="36"/>
      <c r="N17" s="197">
        <f>表!H13</f>
        <v>0</v>
      </c>
      <c r="O17" s="198"/>
      <c r="P17" s="122"/>
      <c r="Q17" s="106"/>
      <c r="R17" s="382"/>
      <c r="S17" s="377"/>
      <c r="T17" s="378" t="str">
        <f>TEXT(表!F3-ROUNDUP(表!F3*表!B21,0),"#,###")&amp;"円×"&amp;表!D17&amp;"人"</f>
        <v>3,099円×0人</v>
      </c>
      <c r="U17" s="379"/>
      <c r="V17" s="379"/>
      <c r="W17" s="379"/>
      <c r="X17" s="380" t="str">
        <f>TEXT(表!I17,"#,###")&amp;"円×"&amp;表!H3*100&amp;"/100"</f>
        <v>円×2.78/100</v>
      </c>
      <c r="Y17" s="377"/>
      <c r="Z17" s="380" t="str">
        <f>"限度額"&amp;DBCS(表!I3/10000)&amp;"万円"</f>
        <v>限度額２６万円</v>
      </c>
      <c r="AA17" s="377"/>
      <c r="AB17" s="383"/>
      <c r="AD17" s="79"/>
      <c r="AE17" s="79"/>
      <c r="AF17" s="79"/>
      <c r="AG17" s="79"/>
      <c r="AH17" s="79"/>
      <c r="AI17" s="79"/>
      <c r="AJ17" s="79"/>
      <c r="AK17" s="79"/>
      <c r="AL17" s="79"/>
      <c r="AM17" s="79"/>
      <c r="AN17" s="79"/>
      <c r="AO17" s="79"/>
      <c r="AP17" s="79"/>
      <c r="AQ17" s="79"/>
      <c r="AR17" s="79"/>
      <c r="AS17" s="79"/>
      <c r="AT17" s="79"/>
      <c r="AU17" s="79"/>
      <c r="AV17" s="79"/>
      <c r="AW17" s="79"/>
      <c r="AX17" s="79"/>
      <c r="AY17" s="79"/>
      <c r="AZ17" s="79"/>
      <c r="BA17" s="79"/>
      <c r="BB17" s="79"/>
      <c r="BC17" s="79"/>
      <c r="BD17" s="79"/>
    </row>
    <row r="18" spans="2:56" ht="15" customHeight="1">
      <c r="B18" s="91"/>
      <c r="C18" s="103" t="s">
        <v>3</v>
      </c>
      <c r="D18" s="92"/>
      <c r="E18" s="92"/>
      <c r="F18" s="200">
        <v>0</v>
      </c>
      <c r="G18" s="104" t="s">
        <v>54</v>
      </c>
      <c r="H18" s="200">
        <v>0</v>
      </c>
      <c r="I18" s="104" t="s">
        <v>54</v>
      </c>
      <c r="J18" s="218">
        <v>0</v>
      </c>
      <c r="K18" s="104" t="s">
        <v>54</v>
      </c>
      <c r="L18" s="210" t="str">
        <f>IF(表!C14=TRUE,"非自","")</f>
        <v/>
      </c>
      <c r="M18" s="36"/>
      <c r="N18" s="195">
        <f>IF(SUM(F19,H19,J19)&lt;0,0,SUM(F19,H19,J19))</f>
        <v>0</v>
      </c>
      <c r="O18" s="196" t="str">
        <f>IF(表!D14=0,"","医支")&amp;IF(表!E14=0,"","介")</f>
        <v/>
      </c>
      <c r="P18" s="121"/>
      <c r="Q18" s="118"/>
      <c r="R18" s="374" t="str">
        <f>IF(表!B44&gt;=1,"未就学減","")</f>
        <v/>
      </c>
      <c r="S18" s="367"/>
      <c r="T18" s="375" t="str">
        <f>IF(表!B44&gt;=1,TEXT(表!E46,"#,###")&amp;"円×"&amp;表!B44&amp;"人","")</f>
        <v/>
      </c>
      <c r="U18" s="367"/>
      <c r="V18" s="368"/>
      <c r="W18" s="367"/>
      <c r="X18" s="367"/>
      <c r="Y18" s="367"/>
      <c r="Z18" s="367"/>
      <c r="AA18" s="367"/>
      <c r="AB18" s="371"/>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row>
    <row r="19" spans="2:56" ht="12.75" customHeight="1">
      <c r="B19" s="91"/>
      <c r="C19" s="113" t="str">
        <f>IF(D19="","",表!O23)</f>
        <v/>
      </c>
      <c r="D19" s="353"/>
      <c r="E19" s="114" t="str">
        <f>"(所得)"&amp;IF(表!C56=表!J56,"","*")</f>
        <v>(所得)</v>
      </c>
      <c r="F19" s="414">
        <f>表!M14</f>
        <v>0</v>
      </c>
      <c r="G19" s="414"/>
      <c r="H19" s="115">
        <f>表!O14</f>
        <v>0</v>
      </c>
      <c r="I19" s="104" t="str">
        <f>IF(AND(H19&gt;=1,表!B14&gt;=4),"*","")</f>
        <v/>
      </c>
      <c r="J19" s="116">
        <f>表!P14</f>
        <v>0</v>
      </c>
      <c r="K19" s="117"/>
      <c r="L19" s="105"/>
      <c r="M19" s="36"/>
      <c r="N19" s="197">
        <f>表!H14</f>
        <v>0</v>
      </c>
      <c r="O19" s="198"/>
      <c r="P19" s="122"/>
      <c r="Q19" s="118"/>
      <c r="R19" s="119"/>
      <c r="S19" s="36"/>
      <c r="T19" s="36"/>
      <c r="U19" s="36"/>
      <c r="V19" s="36"/>
      <c r="W19" s="36"/>
      <c r="X19" s="36"/>
      <c r="Y19" s="36"/>
      <c r="Z19" s="36"/>
      <c r="AA19" s="36"/>
      <c r="AB19" s="120"/>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row>
    <row r="20" spans="2:56" ht="15" customHeight="1">
      <c r="B20" s="91"/>
      <c r="C20" s="103" t="s">
        <v>4</v>
      </c>
      <c r="D20" s="92"/>
      <c r="E20" s="92"/>
      <c r="F20" s="200">
        <v>0</v>
      </c>
      <c r="G20" s="104" t="s">
        <v>54</v>
      </c>
      <c r="H20" s="200">
        <v>0</v>
      </c>
      <c r="I20" s="104" t="s">
        <v>54</v>
      </c>
      <c r="J20" s="218">
        <v>0</v>
      </c>
      <c r="K20" s="104" t="s">
        <v>54</v>
      </c>
      <c r="L20" s="210" t="str">
        <f>IF(表!C15=TRUE,"非自","")</f>
        <v/>
      </c>
      <c r="M20" s="36"/>
      <c r="N20" s="195">
        <f>IF(SUM(F21,H21,J21)&lt;0,0,SUM(F21,H21,J21))</f>
        <v>0</v>
      </c>
      <c r="O20" s="196" t="str">
        <f>IF(表!D15=0,"","医支")&amp;IF(表!E15=0,"","介")</f>
        <v/>
      </c>
      <c r="P20" s="121"/>
      <c r="Q20" s="106"/>
      <c r="R20" s="130" t="s">
        <v>42</v>
      </c>
      <c r="S20" s="131"/>
      <c r="T20" s="132">
        <f>表!F23</f>
        <v>0</v>
      </c>
      <c r="U20" s="133" t="s">
        <v>119</v>
      </c>
      <c r="V20" s="132">
        <f>表!G23</f>
        <v>0</v>
      </c>
      <c r="W20" s="133" t="s">
        <v>119</v>
      </c>
      <c r="X20" s="132">
        <f>表!H23</f>
        <v>0</v>
      </c>
      <c r="Y20" s="134" t="s">
        <v>70</v>
      </c>
      <c r="Z20" s="132">
        <f>表!I23</f>
        <v>0</v>
      </c>
      <c r="AA20" s="130" t="str">
        <f>IF(Z20&lt;T20+V20+X20,"*","")</f>
        <v/>
      </c>
      <c r="AB20" s="135"/>
      <c r="AD20" s="79"/>
      <c r="AE20" s="79"/>
      <c r="AF20" s="79"/>
      <c r="AG20" s="79"/>
      <c r="AH20" s="79"/>
      <c r="AI20" s="79"/>
      <c r="AJ20" s="79"/>
      <c r="AK20" s="79"/>
      <c r="AL20" s="79"/>
      <c r="AM20" s="79"/>
      <c r="AN20" s="79"/>
      <c r="AO20" s="79"/>
      <c r="AP20" s="79"/>
      <c r="AQ20" s="79"/>
      <c r="AR20" s="79"/>
      <c r="AS20" s="79"/>
      <c r="AT20" s="79"/>
      <c r="AU20" s="79"/>
      <c r="AV20" s="79"/>
      <c r="AW20" s="79"/>
      <c r="AX20" s="79"/>
      <c r="AY20" s="79"/>
      <c r="AZ20" s="79"/>
      <c r="BA20" s="79"/>
      <c r="BB20" s="79"/>
      <c r="BC20" s="79"/>
      <c r="BD20" s="79"/>
    </row>
    <row r="21" spans="2:56" ht="12.75" customHeight="1">
      <c r="B21" s="91"/>
      <c r="C21" s="113" t="str">
        <f>IF(D21="","",表!O24)</f>
        <v/>
      </c>
      <c r="D21" s="353"/>
      <c r="E21" s="114" t="str">
        <f>"(所得)"&amp;IF(表!C57=表!J57,"","*")</f>
        <v>(所得)</v>
      </c>
      <c r="F21" s="414">
        <f>表!M15</f>
        <v>0</v>
      </c>
      <c r="G21" s="414"/>
      <c r="H21" s="115">
        <f>表!O15</f>
        <v>0</v>
      </c>
      <c r="I21" s="104" t="str">
        <f>IF(AND(H21&gt;=1,表!B15&gt;=4),"*","")</f>
        <v/>
      </c>
      <c r="J21" s="116">
        <f>表!P15</f>
        <v>0</v>
      </c>
      <c r="K21" s="117"/>
      <c r="L21" s="105"/>
      <c r="M21" s="36"/>
      <c r="N21" s="197">
        <f>表!H15</f>
        <v>0</v>
      </c>
      <c r="O21" s="198"/>
      <c r="P21" s="122"/>
      <c r="Q21" s="106"/>
      <c r="R21" s="377"/>
      <c r="S21" s="377"/>
      <c r="T21" s="379" t="str">
        <f>TEXT(表!F4-ROUNDUP(表!F4*表!B21,0),"#,###")&amp;"円×"&amp;表!E17&amp;"人"</f>
        <v>2,856円×0人</v>
      </c>
      <c r="U21" s="379"/>
      <c r="V21" s="379"/>
      <c r="W21" s="379"/>
      <c r="X21" s="380" t="str">
        <f>TEXT(表!J17,"#,###")&amp;"円×"&amp;表!H4*100&amp;"/100"</f>
        <v>円×2.34/100</v>
      </c>
      <c r="Y21" s="377"/>
      <c r="Z21" s="380" t="str">
        <f>"限度額"&amp;DBCS(表!I4/10000)&amp;"万円"</f>
        <v>限度額１７万円</v>
      </c>
      <c r="AA21" s="377"/>
      <c r="AB21" s="384"/>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row>
    <row r="22" spans="2:56" ht="15" customHeight="1">
      <c r="B22" s="91"/>
      <c r="C22" s="103" t="s">
        <v>5</v>
      </c>
      <c r="D22" s="241"/>
      <c r="E22" s="92"/>
      <c r="F22" s="200">
        <v>0</v>
      </c>
      <c r="G22" s="104" t="s">
        <v>54</v>
      </c>
      <c r="H22" s="200">
        <v>0</v>
      </c>
      <c r="I22" s="104" t="s">
        <v>54</v>
      </c>
      <c r="J22" s="218">
        <v>0</v>
      </c>
      <c r="K22" s="104" t="s">
        <v>54</v>
      </c>
      <c r="L22" s="210" t="str">
        <f>IF(表!C16=TRUE,"非自","")</f>
        <v/>
      </c>
      <c r="M22" s="36"/>
      <c r="N22" s="195">
        <f>IF(SUM(F23,H23,J23)&lt;0,0,SUM(F23,H23,J23))</f>
        <v>0</v>
      </c>
      <c r="O22" s="196" t="str">
        <f>IF(表!D16=0,"","医支")&amp;IF(表!E16=0,"","介")</f>
        <v/>
      </c>
      <c r="P22" s="121"/>
      <c r="Q22" s="118"/>
      <c r="R22" s="367"/>
      <c r="S22" s="367"/>
      <c r="T22" s="367"/>
      <c r="U22" s="372"/>
      <c r="V22" s="367"/>
      <c r="W22" s="367"/>
      <c r="X22" s="367"/>
      <c r="Y22" s="367"/>
      <c r="Z22" s="367"/>
      <c r="AA22" s="367"/>
      <c r="AB22" s="373"/>
      <c r="AD22" s="79"/>
      <c r="AE22" s="79"/>
      <c r="AF22" s="79"/>
      <c r="AG22" s="79"/>
      <c r="AH22" s="79"/>
      <c r="AI22" s="79"/>
      <c r="AJ22" s="79"/>
      <c r="AK22" s="79"/>
      <c r="AL22" s="79"/>
      <c r="AM22" s="79"/>
      <c r="AN22" s="79"/>
      <c r="AO22" s="79"/>
      <c r="AP22" s="79"/>
      <c r="AQ22" s="79"/>
      <c r="AR22" s="79"/>
      <c r="AS22" s="79"/>
      <c r="AT22" s="79"/>
      <c r="AU22" s="79"/>
      <c r="AV22" s="79"/>
      <c r="AW22" s="79"/>
      <c r="AX22" s="79"/>
      <c r="AY22" s="79"/>
      <c r="AZ22" s="79"/>
      <c r="BA22" s="79"/>
      <c r="BB22" s="79"/>
      <c r="BC22" s="79"/>
      <c r="BD22" s="79"/>
    </row>
    <row r="23" spans="2:56" ht="12.75" customHeight="1">
      <c r="B23" s="91"/>
      <c r="C23" s="113" t="str">
        <f>IF(D23="","",表!O25)</f>
        <v/>
      </c>
      <c r="D23" s="353"/>
      <c r="E23" s="114" t="str">
        <f>"(所得)"&amp;IF(表!C58=表!J58,"","*")</f>
        <v>(所得)</v>
      </c>
      <c r="F23" s="414">
        <f>表!M16</f>
        <v>0</v>
      </c>
      <c r="G23" s="414"/>
      <c r="H23" s="115">
        <f>表!O16</f>
        <v>0</v>
      </c>
      <c r="I23" s="104" t="str">
        <f>IF(AND(H23&gt;=1,表!B16&gt;=4),"*","")</f>
        <v/>
      </c>
      <c r="J23" s="116">
        <f>表!P16</f>
        <v>0</v>
      </c>
      <c r="K23" s="117"/>
      <c r="L23" s="93"/>
      <c r="M23" s="36"/>
      <c r="N23" s="197">
        <f>表!H16</f>
        <v>0</v>
      </c>
      <c r="O23" s="97"/>
      <c r="P23" s="122"/>
      <c r="Q23" s="136"/>
      <c r="R23" s="137"/>
      <c r="S23" s="137"/>
      <c r="T23" s="137"/>
      <c r="U23" s="137"/>
      <c r="V23" s="137"/>
      <c r="W23" s="137"/>
      <c r="X23" s="137"/>
      <c r="Y23" s="137"/>
      <c r="Z23" s="137"/>
      <c r="AA23" s="137"/>
      <c r="AB23" s="370"/>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row>
    <row r="24" spans="2:56" ht="15" customHeight="1" thickBot="1">
      <c r="B24" s="138"/>
      <c r="C24" s="139"/>
      <c r="D24" s="139"/>
      <c r="E24" s="140"/>
      <c r="F24" s="141" t="s">
        <v>142</v>
      </c>
      <c r="G24" s="142"/>
      <c r="H24" s="141" t="s">
        <v>143</v>
      </c>
      <c r="I24" s="142"/>
      <c r="J24" s="405" t="s">
        <v>144</v>
      </c>
      <c r="K24" s="405"/>
      <c r="L24" s="143"/>
      <c r="M24" s="199"/>
      <c r="N24" s="464" t="s">
        <v>141</v>
      </c>
      <c r="O24" s="465"/>
      <c r="P24" s="121"/>
      <c r="Q24" s="451" t="s">
        <v>66</v>
      </c>
      <c r="R24" s="451"/>
      <c r="S24" s="36"/>
      <c r="T24" s="144">
        <f>T12+T16+T20</f>
        <v>0</v>
      </c>
      <c r="U24" s="36"/>
      <c r="V24" s="144">
        <f>V12+V16+V20</f>
        <v>0</v>
      </c>
      <c r="W24" s="36"/>
      <c r="X24" s="144">
        <f>X12+X16+X20</f>
        <v>0</v>
      </c>
      <c r="Y24" s="36"/>
      <c r="Z24" s="144">
        <f>Z12+Z16+Z20</f>
        <v>0</v>
      </c>
      <c r="AA24" s="36"/>
      <c r="AB24" s="36"/>
      <c r="AD24" s="79"/>
      <c r="AE24" s="79"/>
      <c r="AF24" s="79"/>
      <c r="AG24" s="79"/>
      <c r="AH24" s="79"/>
      <c r="AI24" s="79"/>
      <c r="AJ24" s="79"/>
      <c r="AK24" s="79"/>
      <c r="AL24" s="79"/>
      <c r="AM24" s="79"/>
      <c r="AN24" s="79"/>
      <c r="AO24" s="79"/>
      <c r="AP24" s="79"/>
      <c r="AQ24" s="79"/>
      <c r="AR24" s="79"/>
      <c r="AS24" s="79"/>
      <c r="AT24" s="79"/>
      <c r="AU24" s="79"/>
      <c r="AV24" s="79"/>
      <c r="AW24" s="79"/>
      <c r="AX24" s="79"/>
      <c r="AY24" s="79"/>
      <c r="AZ24" s="79"/>
      <c r="BA24" s="79"/>
      <c r="BB24" s="79"/>
      <c r="BC24" s="79"/>
      <c r="BD24" s="79"/>
    </row>
    <row r="25" spans="2:56" ht="15.75" customHeight="1" thickTop="1">
      <c r="B25" s="36"/>
      <c r="C25" s="145" t="str">
        <f>表!H27&amp;表!I27&amp;表!H28&amp;表!L34</f>
        <v/>
      </c>
      <c r="D25" s="36"/>
      <c r="E25" s="36"/>
      <c r="F25" s="36"/>
      <c r="G25" s="36"/>
      <c r="H25" s="36"/>
      <c r="I25" s="36"/>
      <c r="J25" s="36"/>
      <c r="K25" s="36"/>
      <c r="L25" s="36"/>
      <c r="M25" s="36"/>
      <c r="N25" s="36"/>
      <c r="O25" s="146" t="str">
        <f>表!G33&amp;表!L33&amp;表!G34</f>
        <v/>
      </c>
      <c r="P25" s="99"/>
      <c r="Q25" s="30"/>
      <c r="R25" s="446" t="str">
        <f>"軽減判定総所得 = "&amp;TEXT(表!R17,"#,##0円")</f>
        <v>軽減判定総所得 = 0円</v>
      </c>
      <c r="S25" s="446"/>
      <c r="T25" s="446"/>
      <c r="U25" s="30"/>
      <c r="V25" s="447" t="str">
        <f>IF(表!$B$21=0,表!$C$21,"均等割と平等割が、"&amp;DBCS(表!$C$21)&amp;"されています。")&amp;IF(表!$B$44&gt;0,"未就学児軽減"&amp;表!B44&amp;"人。","")</f>
        <v>均等割と平等割が、７割軽減されています。</v>
      </c>
      <c r="W25" s="447"/>
      <c r="X25" s="447"/>
      <c r="Y25" s="447"/>
      <c r="Z25" s="447"/>
      <c r="AA25" s="447"/>
      <c r="AB25" s="147" t="str">
        <f>IF(表!C22="自動","","※")</f>
        <v/>
      </c>
      <c r="AD25" s="79"/>
      <c r="AE25" s="79"/>
      <c r="AF25" s="79"/>
      <c r="AG25" s="79"/>
      <c r="AH25" s="79"/>
      <c r="AI25" s="79"/>
      <c r="AJ25" s="79"/>
      <c r="AK25" s="79"/>
      <c r="AL25" s="79"/>
      <c r="AM25" s="79"/>
      <c r="AN25" s="79"/>
      <c r="AO25" s="79"/>
      <c r="AP25" s="79"/>
      <c r="AQ25" s="79"/>
      <c r="AR25" s="79"/>
      <c r="AS25" s="79"/>
      <c r="AT25" s="79"/>
      <c r="AU25" s="79"/>
      <c r="AV25" s="79"/>
      <c r="AW25" s="79"/>
      <c r="AX25" s="79"/>
      <c r="AY25" s="79"/>
      <c r="AZ25" s="79"/>
      <c r="BA25" s="79"/>
      <c r="BB25" s="79"/>
      <c r="BC25" s="79"/>
      <c r="BD25" s="79"/>
    </row>
    <row r="26" spans="2:56" ht="4.5" customHeight="1" thickBot="1">
      <c r="C26" s="84"/>
      <c r="P26" s="99"/>
      <c r="AD26" s="79"/>
      <c r="AE26" s="79"/>
      <c r="AF26" s="79"/>
      <c r="AG26" s="79"/>
      <c r="AH26" s="79"/>
      <c r="AI26" s="79"/>
      <c r="AJ26" s="79"/>
      <c r="AK26" s="79"/>
      <c r="AL26" s="79"/>
      <c r="AM26" s="79"/>
      <c r="AN26" s="79"/>
      <c r="AO26" s="79"/>
      <c r="AP26" s="79"/>
      <c r="AQ26" s="79"/>
      <c r="AR26" s="79"/>
      <c r="AS26" s="79"/>
      <c r="AT26" s="79"/>
      <c r="AU26" s="79"/>
      <c r="AV26" s="79"/>
      <c r="AW26" s="79"/>
      <c r="AX26" s="79"/>
      <c r="AY26" s="79"/>
      <c r="AZ26" s="79"/>
      <c r="BA26" s="79"/>
      <c r="BB26" s="79"/>
      <c r="BC26" s="79"/>
      <c r="BD26" s="79"/>
    </row>
    <row r="27" spans="2:56" ht="23.25" customHeight="1" thickTop="1" thickBot="1">
      <c r="Q27" s="448" t="s">
        <v>45</v>
      </c>
      <c r="R27" s="448"/>
      <c r="S27" s="448"/>
      <c r="T27" s="448"/>
      <c r="U27" s="449">
        <f>表!I24</f>
        <v>0</v>
      </c>
      <c r="V27" s="449"/>
      <c r="W27" s="148" t="s">
        <v>46</v>
      </c>
      <c r="X27" s="149" t="s">
        <v>68</v>
      </c>
      <c r="Y27" s="450" t="str">
        <f>TEXT(ROUND(U27/12,0),"#,##0")&amp;"円）"</f>
        <v>0円）</v>
      </c>
      <c r="Z27" s="450"/>
      <c r="AA27" s="450"/>
      <c r="AB27" s="192"/>
      <c r="AD27" s="79"/>
      <c r="AE27" s="79"/>
      <c r="AF27" s="79"/>
      <c r="AG27" s="79"/>
      <c r="AH27" s="79"/>
      <c r="AI27" s="79"/>
      <c r="AJ27" s="79"/>
      <c r="AK27" s="79"/>
      <c r="AL27" s="79"/>
      <c r="AM27" s="79"/>
      <c r="AN27" s="79"/>
      <c r="AO27" s="79"/>
      <c r="AP27" s="79"/>
      <c r="AQ27" s="79"/>
      <c r="AR27" s="79"/>
      <c r="AS27" s="79"/>
      <c r="AT27" s="79"/>
      <c r="AU27" s="79"/>
      <c r="AV27" s="79"/>
      <c r="AW27" s="79"/>
      <c r="AX27" s="79"/>
      <c r="AY27" s="79"/>
      <c r="AZ27" s="79"/>
      <c r="BA27" s="79"/>
      <c r="BB27" s="79"/>
      <c r="BC27" s="79"/>
      <c r="BD27" s="79"/>
    </row>
    <row r="28" spans="2:56" ht="21.75" customHeight="1" thickTop="1">
      <c r="AD28" s="79"/>
      <c r="AE28" s="79"/>
      <c r="AF28" s="79"/>
      <c r="AG28" s="79"/>
      <c r="AH28" s="79"/>
      <c r="AI28" s="79"/>
      <c r="AJ28" s="79"/>
      <c r="AK28" s="79"/>
      <c r="AL28" s="79"/>
      <c r="AM28" s="79"/>
      <c r="AN28" s="79"/>
      <c r="AO28" s="79"/>
      <c r="AP28" s="79"/>
      <c r="AQ28" s="79"/>
      <c r="AR28" s="79"/>
      <c r="AS28" s="79"/>
      <c r="AT28" s="79"/>
      <c r="AU28" s="79"/>
      <c r="AV28" s="79"/>
      <c r="AW28" s="79"/>
      <c r="AX28" s="79"/>
      <c r="AY28" s="79"/>
      <c r="AZ28" s="79"/>
      <c r="BA28" s="79"/>
      <c r="BB28" s="79"/>
      <c r="BC28" s="79"/>
      <c r="BD28" s="79"/>
    </row>
    <row r="29" spans="2:56" ht="21.75" customHeight="1">
      <c r="C29" s="30"/>
      <c r="D29" s="30"/>
      <c r="E29" s="412"/>
      <c r="F29" s="412"/>
      <c r="G29" s="412"/>
      <c r="H29" s="412"/>
      <c r="I29" s="412"/>
      <c r="J29" s="412"/>
      <c r="K29" s="412"/>
      <c r="L29" s="412"/>
      <c r="M29" s="412"/>
      <c r="N29" s="412"/>
      <c r="O29" s="412"/>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row>
    <row r="30" spans="2:56" ht="14.25" customHeight="1">
      <c r="C30" s="151" t="s">
        <v>237</v>
      </c>
      <c r="D30" s="152"/>
      <c r="E30" s="413"/>
      <c r="F30" s="413"/>
      <c r="G30" s="413"/>
      <c r="H30" s="413"/>
      <c r="I30" s="413"/>
      <c r="J30" s="413"/>
      <c r="K30" s="413"/>
      <c r="L30" s="413"/>
      <c r="M30" s="413"/>
      <c r="N30" s="413"/>
      <c r="O30" s="413"/>
      <c r="P30" s="150"/>
      <c r="AD30" s="79"/>
      <c r="AE30" s="79"/>
      <c r="AF30" s="79"/>
      <c r="AG30" s="79"/>
      <c r="AH30" s="79"/>
      <c r="AI30" s="79"/>
      <c r="AJ30" s="79"/>
      <c r="AK30" s="79"/>
      <c r="AL30" s="79"/>
      <c r="AM30" s="79"/>
      <c r="AN30" s="79"/>
      <c r="AO30" s="79"/>
      <c r="AP30" s="79"/>
      <c r="AQ30" s="79"/>
      <c r="AR30" s="79"/>
      <c r="AS30" s="79"/>
      <c r="AT30" s="79"/>
      <c r="AU30" s="79"/>
      <c r="AV30" s="79"/>
      <c r="AW30" s="79"/>
      <c r="AX30" s="79"/>
      <c r="AY30" s="79"/>
      <c r="AZ30" s="79"/>
      <c r="BA30" s="79"/>
      <c r="BB30" s="79"/>
      <c r="BC30" s="79"/>
      <c r="BD30" s="79"/>
    </row>
    <row r="31" spans="2:56" ht="11.25" customHeight="1">
      <c r="C31" s="153" t="s">
        <v>52</v>
      </c>
      <c r="D31" s="427" t="str">
        <f>T9</f>
        <v>被保険者
均等割</v>
      </c>
      <c r="E31" s="427"/>
      <c r="F31" s="408" t="str">
        <f>V9</f>
        <v>世帯別
平等割</v>
      </c>
      <c r="G31" s="423"/>
      <c r="H31" s="409"/>
      <c r="I31" s="408" t="str">
        <f>X9</f>
        <v>所 得 割</v>
      </c>
      <c r="J31" s="423"/>
      <c r="K31" s="423"/>
      <c r="L31" s="423"/>
      <c r="M31" s="409"/>
      <c r="N31" s="408" t="str">
        <f>表!I1</f>
        <v>限 度 額</v>
      </c>
      <c r="O31" s="409"/>
      <c r="P31" s="150"/>
      <c r="Q31" s="150"/>
      <c r="AD31" s="79"/>
      <c r="AE31" s="79"/>
      <c r="AF31" s="79"/>
      <c r="AG31" s="79"/>
      <c r="AH31" s="79"/>
      <c r="AI31" s="79"/>
      <c r="AJ31" s="79"/>
      <c r="AK31" s="79"/>
      <c r="AL31" s="79"/>
      <c r="AM31" s="79"/>
      <c r="AN31" s="79"/>
      <c r="AO31" s="79"/>
      <c r="AP31" s="79"/>
      <c r="AQ31" s="79"/>
      <c r="AR31" s="79"/>
      <c r="AS31" s="79"/>
      <c r="AT31" s="79"/>
      <c r="AU31" s="79"/>
      <c r="AV31" s="79"/>
      <c r="AW31" s="79"/>
      <c r="AX31" s="79"/>
      <c r="AY31" s="79"/>
      <c r="AZ31" s="79"/>
      <c r="BA31" s="79"/>
      <c r="BB31" s="79"/>
      <c r="BC31" s="79"/>
      <c r="BD31" s="79"/>
    </row>
    <row r="32" spans="2:56">
      <c r="C32" s="154" t="s">
        <v>39</v>
      </c>
      <c r="D32" s="428" t="str">
        <f>DBCS(TEXT(表!F2,"#,### 円　"))</f>
        <v>３０，１３３　円　</v>
      </c>
      <c r="E32" s="428"/>
      <c r="F32" s="410" t="str">
        <f>DBCS(TEXT(表!G2,"#,### 円　"))</f>
        <v>２９，７５８　円　</v>
      </c>
      <c r="G32" s="424"/>
      <c r="H32" s="411"/>
      <c r="I32" s="434" t="str">
        <f>DBCS(表!H2*100&amp;"/100")</f>
        <v>８．３／１００</v>
      </c>
      <c r="J32" s="435"/>
      <c r="K32" s="435"/>
      <c r="L32" s="435"/>
      <c r="M32" s="436"/>
      <c r="N32" s="410" t="str">
        <f>DBCS(TEXT(表!I2,"#,### 円　"))</f>
        <v>６６０，０００　円　</v>
      </c>
      <c r="O32" s="411"/>
      <c r="P32" s="30"/>
      <c r="Q32" s="150"/>
      <c r="AD32" s="79"/>
      <c r="AE32" s="79"/>
      <c r="AF32" s="79"/>
      <c r="AG32" s="79"/>
      <c r="AH32" s="79"/>
      <c r="AI32" s="79"/>
      <c r="AJ32" s="79"/>
      <c r="AK32" s="79"/>
      <c r="AL32" s="79"/>
      <c r="AM32" s="79"/>
      <c r="AN32" s="79"/>
      <c r="AO32" s="79"/>
      <c r="AP32" s="79"/>
      <c r="AQ32" s="79"/>
      <c r="AR32" s="79"/>
      <c r="AS32" s="79"/>
      <c r="AT32" s="79"/>
      <c r="AU32" s="79"/>
      <c r="AV32" s="79"/>
      <c r="AW32" s="79"/>
      <c r="AX32" s="79"/>
      <c r="AY32" s="79"/>
      <c r="AZ32" s="79"/>
      <c r="BA32" s="79"/>
      <c r="BB32" s="79"/>
      <c r="BC32" s="79"/>
      <c r="BD32" s="79"/>
    </row>
    <row r="33" spans="1:56">
      <c r="C33" s="155" t="s">
        <v>41</v>
      </c>
      <c r="D33" s="429" t="str">
        <f>DBCS(TEXT(表!F3,"#,### 円　"))</f>
        <v>１０，３３０　円　</v>
      </c>
      <c r="E33" s="429"/>
      <c r="F33" s="415" t="str">
        <f>DBCS(TEXT(表!G3,"#,### 円　"))</f>
        <v>１０，２０１　円　</v>
      </c>
      <c r="G33" s="425"/>
      <c r="H33" s="416"/>
      <c r="I33" s="437" t="str">
        <f>DBCS(表!H3*100&amp;"/100")</f>
        <v>２．７８／１００</v>
      </c>
      <c r="J33" s="438"/>
      <c r="K33" s="438"/>
      <c r="L33" s="438"/>
      <c r="M33" s="439"/>
      <c r="N33" s="415" t="str">
        <f>DBCS(TEXT(表!I3,"#,### 円　"))</f>
        <v>２６０，０００　円　</v>
      </c>
      <c r="O33" s="416"/>
      <c r="P33" s="30"/>
      <c r="Q33" s="30"/>
      <c r="AD33" s="79"/>
      <c r="AE33" s="79"/>
      <c r="AF33" s="79"/>
      <c r="AG33" s="79"/>
      <c r="AH33" s="79"/>
      <c r="AI33" s="79"/>
      <c r="AJ33" s="79"/>
      <c r="AK33" s="79"/>
      <c r="AL33" s="79"/>
      <c r="AM33" s="79"/>
      <c r="AN33" s="79"/>
      <c r="AO33" s="79"/>
      <c r="AP33" s="79"/>
      <c r="AQ33" s="79"/>
      <c r="AR33" s="79"/>
      <c r="AS33" s="79"/>
      <c r="AT33" s="79"/>
      <c r="AU33" s="79"/>
      <c r="AV33" s="79"/>
      <c r="AW33" s="79"/>
      <c r="AX33" s="79"/>
      <c r="AY33" s="79"/>
      <c r="AZ33" s="79"/>
      <c r="BA33" s="79"/>
      <c r="BB33" s="79"/>
      <c r="BC33" s="79"/>
      <c r="BD33" s="79"/>
    </row>
    <row r="34" spans="1:56">
      <c r="C34" s="156" t="s">
        <v>42</v>
      </c>
      <c r="D34" s="430" t="str">
        <f>DBCS(TEXT(表!F4,"#,### 円　"))</f>
        <v>９，５２２　円　</v>
      </c>
      <c r="E34" s="430"/>
      <c r="F34" s="406" t="str">
        <f>DBCS(TEXT(表!G4,"#,### 円　"))</f>
        <v>７，１６３　円　</v>
      </c>
      <c r="G34" s="426"/>
      <c r="H34" s="407"/>
      <c r="I34" s="431" t="str">
        <f>DBCS(表!H4*100&amp;"/100")</f>
        <v>２．３４／１００</v>
      </c>
      <c r="J34" s="432"/>
      <c r="K34" s="432"/>
      <c r="L34" s="432"/>
      <c r="M34" s="433"/>
      <c r="N34" s="406" t="str">
        <f>DBCS(TEXT(表!I4,"#,### 円　"))</f>
        <v>１７０，０００　円　</v>
      </c>
      <c r="O34" s="407"/>
      <c r="P34" s="30"/>
      <c r="Q34" s="30"/>
      <c r="AD34" s="79"/>
      <c r="AE34" s="79"/>
      <c r="AF34" s="79"/>
      <c r="AG34" s="79"/>
      <c r="AH34" s="79"/>
      <c r="AI34" s="79"/>
      <c r="AJ34" s="79"/>
      <c r="AK34" s="79"/>
      <c r="AL34" s="79"/>
      <c r="AM34" s="79"/>
      <c r="AN34" s="79"/>
      <c r="AO34" s="79"/>
      <c r="AP34" s="79"/>
      <c r="AQ34" s="79"/>
      <c r="AR34" s="79"/>
      <c r="AS34" s="79"/>
      <c r="AT34" s="79"/>
      <c r="AU34" s="79"/>
      <c r="AV34" s="79"/>
      <c r="AW34" s="79"/>
      <c r="AX34" s="79"/>
      <c r="AY34" s="79"/>
      <c r="AZ34" s="79"/>
      <c r="BA34" s="79"/>
      <c r="BB34" s="79"/>
      <c r="BC34" s="79"/>
      <c r="BD34" s="79"/>
    </row>
    <row r="35" spans="1:56">
      <c r="Q35" s="30"/>
      <c r="AD35" s="79"/>
      <c r="AE35" s="79"/>
      <c r="AF35" s="79"/>
      <c r="AG35" s="79"/>
      <c r="AH35" s="79"/>
      <c r="AI35" s="79"/>
      <c r="AJ35" s="79"/>
      <c r="AK35" s="79"/>
      <c r="AL35" s="79"/>
      <c r="AM35" s="79"/>
      <c r="AN35" s="79"/>
      <c r="AO35" s="79"/>
      <c r="AP35" s="79"/>
      <c r="AQ35" s="79"/>
      <c r="AR35" s="79"/>
      <c r="AS35" s="79"/>
      <c r="AT35" s="79"/>
      <c r="AU35" s="79"/>
      <c r="AV35" s="79"/>
      <c r="AW35" s="79"/>
      <c r="AX35" s="79"/>
      <c r="AY35" s="79"/>
      <c r="AZ35" s="79"/>
      <c r="BA35" s="79"/>
      <c r="BB35" s="79"/>
      <c r="BC35" s="79"/>
      <c r="BD35" s="79"/>
    </row>
    <row r="36" spans="1:56">
      <c r="AD36" s="79"/>
      <c r="AE36" s="79"/>
      <c r="AF36" s="79"/>
      <c r="AG36" s="79"/>
      <c r="AH36" s="79"/>
      <c r="AI36" s="79"/>
      <c r="AJ36" s="79"/>
      <c r="AK36" s="79"/>
      <c r="AL36" s="79"/>
      <c r="AM36" s="79"/>
      <c r="AN36" s="79"/>
      <c r="AO36" s="79"/>
      <c r="AP36" s="79"/>
      <c r="AQ36" s="79"/>
      <c r="AR36" s="79"/>
      <c r="AS36" s="79"/>
      <c r="AT36" s="79"/>
      <c r="AU36" s="79"/>
      <c r="AV36" s="79"/>
      <c r="AW36" s="79"/>
      <c r="AX36" s="79"/>
      <c r="AY36" s="79"/>
      <c r="AZ36" s="79"/>
      <c r="BA36" s="79"/>
      <c r="BB36" s="79"/>
      <c r="BC36" s="79"/>
      <c r="BD36" s="79"/>
    </row>
    <row r="37" spans="1:56">
      <c r="AD37" s="79"/>
      <c r="AE37" s="79"/>
      <c r="AF37" s="79"/>
      <c r="AG37" s="79"/>
      <c r="AH37" s="79"/>
      <c r="AI37" s="79"/>
      <c r="AJ37" s="79"/>
      <c r="AK37" s="79"/>
      <c r="AL37" s="79"/>
      <c r="AM37" s="79"/>
      <c r="AN37" s="79"/>
      <c r="AO37" s="79"/>
      <c r="AP37" s="79"/>
      <c r="AQ37" s="79"/>
      <c r="AR37" s="79"/>
      <c r="AS37" s="79"/>
      <c r="AT37" s="79"/>
      <c r="AU37" s="79"/>
      <c r="AV37" s="79"/>
      <c r="AW37" s="79"/>
      <c r="AX37" s="79"/>
      <c r="AY37" s="79"/>
      <c r="AZ37" s="79"/>
      <c r="BA37" s="79"/>
      <c r="BB37" s="79"/>
      <c r="BC37" s="79"/>
      <c r="BD37" s="79"/>
    </row>
    <row r="38" spans="1:56">
      <c r="C38" s="150"/>
      <c r="D38" s="150"/>
      <c r="E38" s="150"/>
      <c r="F38" s="150"/>
      <c r="G38" s="150"/>
      <c r="H38" s="150"/>
      <c r="I38" s="150"/>
      <c r="J38" s="150"/>
      <c r="K38" s="150"/>
      <c r="L38" s="30"/>
      <c r="M38" s="30"/>
      <c r="N38" s="30"/>
      <c r="O38" s="30"/>
      <c r="AD38" s="79"/>
      <c r="AE38" s="79"/>
      <c r="AF38" s="79"/>
      <c r="AG38" s="79"/>
      <c r="AH38" s="79"/>
      <c r="AI38" s="79"/>
      <c r="AJ38" s="79"/>
      <c r="AK38" s="79"/>
      <c r="AL38" s="79"/>
      <c r="AM38" s="79"/>
      <c r="AN38" s="79"/>
      <c r="AO38" s="79"/>
      <c r="AP38" s="79"/>
      <c r="AQ38" s="79"/>
      <c r="AR38" s="79"/>
      <c r="AS38" s="79"/>
      <c r="AT38" s="79"/>
      <c r="AU38" s="79"/>
      <c r="AV38" s="79"/>
      <c r="AW38" s="79"/>
      <c r="AX38" s="79"/>
      <c r="AY38" s="79"/>
      <c r="AZ38" s="79"/>
      <c r="BA38" s="79"/>
      <c r="BB38" s="79"/>
      <c r="BC38" s="79"/>
      <c r="BD38" s="79"/>
    </row>
    <row r="39" spans="1:56">
      <c r="C39" s="440" t="s">
        <v>47</v>
      </c>
      <c r="D39" s="441"/>
      <c r="E39" s="441"/>
      <c r="F39" s="441"/>
      <c r="G39" s="441"/>
      <c r="H39" s="441"/>
      <c r="I39" s="441"/>
      <c r="J39" s="441"/>
      <c r="K39" s="441"/>
      <c r="L39" s="441"/>
      <c r="M39" s="442"/>
      <c r="N39" s="157" t="s">
        <v>48</v>
      </c>
      <c r="O39" s="158" t="str">
        <f>表!D17+表!F28&amp;"人の場合"</f>
        <v>0人の場合</v>
      </c>
      <c r="AD39" s="79"/>
      <c r="AE39" s="79"/>
      <c r="AF39" s="79"/>
      <c r="AG39" s="79"/>
      <c r="AH39" s="79"/>
      <c r="AI39" s="79"/>
      <c r="AJ39" s="79"/>
      <c r="AK39" s="79"/>
      <c r="AL39" s="79"/>
      <c r="AM39" s="79"/>
      <c r="AN39" s="79"/>
      <c r="AO39" s="79"/>
      <c r="AP39" s="79"/>
      <c r="AQ39" s="79"/>
      <c r="AR39" s="79"/>
      <c r="AS39" s="79"/>
      <c r="AT39" s="79"/>
      <c r="AU39" s="79"/>
      <c r="AV39" s="79"/>
      <c r="AW39" s="79"/>
      <c r="AX39" s="79"/>
      <c r="AY39" s="79"/>
      <c r="AZ39" s="79"/>
      <c r="BA39" s="79"/>
      <c r="BB39" s="79"/>
      <c r="BC39" s="79"/>
      <c r="BD39" s="79"/>
    </row>
    <row r="40" spans="1:56">
      <c r="C40" s="443" t="str">
        <f>IF(表!P65&gt;=2,表!M36&amp;表!M37,表!M36)</f>
        <v>４３万円</v>
      </c>
      <c r="D40" s="444"/>
      <c r="E40" s="444"/>
      <c r="F40" s="444"/>
      <c r="G40" s="444"/>
      <c r="H40" s="444"/>
      <c r="I40" s="444"/>
      <c r="J40" s="444"/>
      <c r="K40" s="444"/>
      <c r="L40" s="444"/>
      <c r="M40" s="445"/>
      <c r="N40" s="159" t="s">
        <v>49</v>
      </c>
      <c r="O40" s="160" t="str">
        <f>IF(表!D17=0,"",(表!A27-1)/10000&amp;"万円")</f>
        <v/>
      </c>
      <c r="AD40" s="79"/>
      <c r="AE40" s="79"/>
      <c r="AF40" s="79"/>
      <c r="AG40" s="79"/>
      <c r="AH40" s="79"/>
      <c r="AI40" s="79"/>
      <c r="AJ40" s="79"/>
      <c r="AK40" s="79"/>
      <c r="AL40" s="79"/>
      <c r="AM40" s="79"/>
      <c r="AN40" s="79"/>
      <c r="AO40" s="79"/>
      <c r="AP40" s="79"/>
      <c r="AQ40" s="79"/>
      <c r="AR40" s="79"/>
      <c r="AS40" s="79"/>
      <c r="AT40" s="79"/>
      <c r="AU40" s="79"/>
      <c r="AV40" s="79"/>
      <c r="AW40" s="79"/>
      <c r="AX40" s="79"/>
      <c r="AY40" s="79"/>
      <c r="AZ40" s="79"/>
      <c r="BA40" s="79"/>
      <c r="BB40" s="79"/>
      <c r="BC40" s="79"/>
      <c r="BD40" s="79"/>
    </row>
    <row r="41" spans="1:56" ht="13.5" customHeight="1">
      <c r="C41" s="417" t="str">
        <f>IF(表!P65&gt;=2,表!M36&amp;表!M38&amp;表!M37,表!M36&amp;表!M38)</f>
        <v>４３万円＋｛３０万５千円×（被保険者数+特定同一世帯所属者数）｝</v>
      </c>
      <c r="D41" s="418"/>
      <c r="E41" s="418"/>
      <c r="F41" s="418"/>
      <c r="G41" s="418"/>
      <c r="H41" s="418"/>
      <c r="I41" s="418"/>
      <c r="J41" s="418"/>
      <c r="K41" s="418"/>
      <c r="L41" s="418"/>
      <c r="M41" s="419"/>
      <c r="N41" s="161" t="s">
        <v>50</v>
      </c>
      <c r="O41" s="160" t="str">
        <f>IF(表!D17=0,"",(表!A28-1)/10000&amp;"万円")</f>
        <v/>
      </c>
      <c r="AD41" s="79"/>
      <c r="AE41" s="79"/>
      <c r="AF41" s="79"/>
      <c r="AG41" s="79"/>
      <c r="AH41" s="79"/>
      <c r="AI41" s="79"/>
      <c r="AJ41" s="79"/>
      <c r="AK41" s="79"/>
      <c r="AL41" s="79"/>
      <c r="AM41" s="79"/>
      <c r="AN41" s="79"/>
      <c r="AO41" s="79"/>
      <c r="AP41" s="79"/>
      <c r="AQ41" s="79"/>
      <c r="AR41" s="79"/>
      <c r="AS41" s="79"/>
      <c r="AT41" s="79"/>
      <c r="AU41" s="79"/>
      <c r="AV41" s="79"/>
      <c r="AW41" s="79"/>
      <c r="AX41" s="79"/>
      <c r="AY41" s="79"/>
      <c r="AZ41" s="79"/>
      <c r="BA41" s="79"/>
      <c r="BB41" s="79"/>
      <c r="BC41" s="79"/>
      <c r="BD41" s="79"/>
    </row>
    <row r="42" spans="1:56">
      <c r="C42" s="420" t="str">
        <f>IF(表!P65&gt;=2,表!M36&amp;表!M39&amp;表!M37,表!M36&amp;表!M39)</f>
        <v>４３万円＋｛５６万円×（被保険者数+特定同一世帯所属者数）｝</v>
      </c>
      <c r="D42" s="421"/>
      <c r="E42" s="421"/>
      <c r="F42" s="421"/>
      <c r="G42" s="421"/>
      <c r="H42" s="421"/>
      <c r="I42" s="421"/>
      <c r="J42" s="421"/>
      <c r="K42" s="421"/>
      <c r="L42" s="421"/>
      <c r="M42" s="422"/>
      <c r="N42" s="162" t="s">
        <v>51</v>
      </c>
      <c r="O42" s="160" t="str">
        <f>IF(表!D17=0,"",(表!A29-1)/10000&amp;"万円")</f>
        <v/>
      </c>
      <c r="AD42" s="79"/>
      <c r="AE42" s="79"/>
      <c r="AF42" s="79"/>
      <c r="AG42" s="79"/>
      <c r="AH42" s="79"/>
      <c r="AI42" s="79"/>
      <c r="AJ42" s="79"/>
      <c r="AK42" s="79"/>
      <c r="AL42" s="79"/>
      <c r="AM42" s="79"/>
      <c r="AN42" s="79"/>
      <c r="AO42" s="79"/>
      <c r="AP42" s="79"/>
      <c r="AQ42" s="79"/>
      <c r="AR42" s="79"/>
      <c r="AS42" s="79"/>
      <c r="AT42" s="79"/>
      <c r="AU42" s="79"/>
      <c r="AV42" s="79"/>
      <c r="AW42" s="79"/>
      <c r="AX42" s="79"/>
      <c r="AY42" s="79"/>
      <c r="AZ42" s="79"/>
      <c r="BA42" s="79"/>
      <c r="BB42" s="79"/>
      <c r="BC42" s="79"/>
      <c r="BD42" s="79"/>
    </row>
    <row r="43" spans="1:56">
      <c r="C43" s="163" t="s">
        <v>67</v>
      </c>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row>
    <row r="44" spans="1:56">
      <c r="C44" s="356"/>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row>
    <row r="45" spans="1:56">
      <c r="C45" s="99"/>
      <c r="D45" s="99"/>
      <c r="E45" s="99"/>
      <c r="F45" s="99"/>
      <c r="G45" s="99"/>
      <c r="H45" s="99"/>
      <c r="I45" s="99"/>
      <c r="J45" s="99"/>
      <c r="K45" s="99"/>
      <c r="L45" s="99"/>
      <c r="M45" s="99"/>
      <c r="N45" s="99"/>
      <c r="O45" s="9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row>
    <row r="46" spans="1:56">
      <c r="A46" s="99"/>
      <c r="B46" s="99"/>
      <c r="C46" s="99"/>
      <c r="D46" s="99"/>
      <c r="E46" s="99"/>
      <c r="F46" s="99"/>
      <c r="G46" s="99"/>
      <c r="H46" s="99"/>
      <c r="I46" s="99"/>
      <c r="J46" s="99"/>
      <c r="K46" s="99"/>
      <c r="L46" s="99"/>
      <c r="M46" s="99"/>
      <c r="N46" s="99"/>
      <c r="O46" s="99"/>
      <c r="P46" s="99"/>
      <c r="AC46" s="99"/>
      <c r="AD46" s="79"/>
      <c r="AE46" s="79"/>
      <c r="AF46" s="79"/>
      <c r="AG46" s="79"/>
      <c r="AH46" s="79"/>
      <c r="AI46" s="79"/>
      <c r="AJ46" s="79"/>
      <c r="AK46" s="79"/>
      <c r="AL46" s="79"/>
      <c r="AM46" s="79"/>
      <c r="AN46" s="79"/>
      <c r="AO46" s="79"/>
      <c r="AP46" s="79"/>
      <c r="AQ46" s="79"/>
      <c r="AR46" s="79"/>
      <c r="AS46" s="79"/>
      <c r="AT46" s="79"/>
      <c r="AU46" s="79"/>
      <c r="AV46" s="79"/>
      <c r="AW46" s="79"/>
      <c r="AX46" s="79"/>
      <c r="AY46" s="79"/>
      <c r="AZ46" s="79"/>
      <c r="BA46" s="79"/>
      <c r="BB46" s="79"/>
      <c r="BC46" s="79"/>
      <c r="BD46" s="79"/>
    </row>
    <row r="47" spans="1:56" s="99" customFormat="1" ht="18.75" customHeight="1">
      <c r="AD47" s="79"/>
      <c r="AE47" s="79"/>
      <c r="AF47" s="79"/>
      <c r="AG47" s="79"/>
      <c r="AH47" s="79"/>
      <c r="AI47" s="79"/>
      <c r="AJ47" s="79"/>
      <c r="AK47" s="79"/>
      <c r="AL47" s="79"/>
      <c r="AM47" s="79"/>
      <c r="AN47" s="79"/>
      <c r="AO47" s="79"/>
      <c r="AP47" s="79"/>
      <c r="AQ47" s="79"/>
      <c r="AR47" s="79"/>
      <c r="AS47" s="79"/>
      <c r="AT47" s="79"/>
      <c r="AU47" s="79"/>
      <c r="AV47" s="79"/>
      <c r="AW47" s="79"/>
      <c r="AX47" s="79"/>
      <c r="AY47" s="79"/>
      <c r="AZ47" s="79"/>
      <c r="BA47" s="79"/>
      <c r="BB47" s="79"/>
      <c r="BC47" s="79"/>
      <c r="BD47" s="79"/>
    </row>
    <row r="48" spans="1:56" ht="78.75" customHeight="1">
      <c r="A48" s="79"/>
      <c r="B48" s="79"/>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c r="AZ48" s="79"/>
      <c r="BA48" s="79"/>
      <c r="BB48" s="79"/>
      <c r="BC48" s="79"/>
      <c r="BD48" s="79"/>
    </row>
    <row r="49" spans="1:56">
      <c r="A49" s="79"/>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row>
    <row r="50" spans="1:56">
      <c r="A50" s="79"/>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row>
    <row r="51" spans="1:56">
      <c r="A51" s="79"/>
      <c r="B51" s="79"/>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c r="AZ51" s="79"/>
      <c r="BA51" s="79"/>
      <c r="BB51" s="79"/>
      <c r="BC51" s="79"/>
      <c r="BD51" s="79"/>
    </row>
    <row r="52" spans="1:56">
      <c r="A52" s="79"/>
      <c r="B52" s="79"/>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c r="AZ52" s="79"/>
      <c r="BA52" s="79"/>
      <c r="BB52" s="79"/>
      <c r="BC52" s="79"/>
      <c r="BD52" s="79"/>
    </row>
    <row r="53" spans="1:56">
      <c r="A53" s="79"/>
      <c r="B53" s="79"/>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row>
    <row r="54" spans="1:56">
      <c r="A54" s="79"/>
      <c r="B54" s="79"/>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c r="AZ54" s="79"/>
      <c r="BA54" s="79"/>
      <c r="BB54" s="79"/>
      <c r="BC54" s="79"/>
      <c r="BD54" s="79"/>
    </row>
    <row r="55" spans="1:56">
      <c r="A55" s="79"/>
      <c r="B55" s="79"/>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c r="AZ55" s="79"/>
      <c r="BA55" s="79"/>
      <c r="BB55" s="79"/>
      <c r="BC55" s="79"/>
      <c r="BD55" s="79"/>
    </row>
    <row r="56" spans="1:56">
      <c r="A56" s="79"/>
      <c r="B56" s="79"/>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c r="AZ56" s="79"/>
      <c r="BA56" s="79"/>
      <c r="BB56" s="79"/>
      <c r="BC56" s="79"/>
      <c r="BD56" s="79"/>
    </row>
    <row r="57" spans="1:56">
      <c r="A57" s="79"/>
      <c r="B57" s="79"/>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c r="AZ57" s="79"/>
      <c r="BA57" s="79"/>
      <c r="BB57" s="79"/>
      <c r="BC57" s="79"/>
      <c r="BD57" s="79"/>
    </row>
    <row r="58" spans="1:56">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c r="AZ58" s="79"/>
      <c r="BA58" s="79"/>
      <c r="BB58" s="79"/>
      <c r="BC58" s="79"/>
      <c r="BD58" s="79"/>
    </row>
    <row r="59" spans="1:56">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c r="AZ59" s="79"/>
      <c r="BA59" s="79"/>
      <c r="BB59" s="79"/>
      <c r="BC59" s="79"/>
      <c r="BD59" s="79"/>
    </row>
    <row r="60" spans="1:56">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c r="AZ60" s="79"/>
      <c r="BA60" s="79"/>
      <c r="BB60" s="79"/>
      <c r="BC60" s="79"/>
      <c r="BD60" s="79"/>
    </row>
    <row r="61" spans="1:56">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c r="AZ61" s="79"/>
      <c r="BA61" s="79"/>
      <c r="BB61" s="79"/>
      <c r="BC61" s="79"/>
      <c r="BD61" s="79"/>
    </row>
    <row r="62" spans="1:56">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row>
    <row r="63" spans="1:56">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c r="AZ63" s="79"/>
      <c r="BA63" s="79"/>
      <c r="BB63" s="79"/>
      <c r="BC63" s="79"/>
      <c r="BD63" s="79"/>
    </row>
    <row r="64" spans="1:56">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c r="AZ64" s="79"/>
      <c r="BA64" s="79"/>
      <c r="BB64" s="79"/>
      <c r="BC64" s="79"/>
      <c r="BD64" s="79"/>
    </row>
    <row r="65" spans="1:56">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c r="AZ65" s="79"/>
      <c r="BA65" s="79"/>
      <c r="BB65" s="79"/>
      <c r="BC65" s="79"/>
      <c r="BD65" s="79"/>
    </row>
    <row r="66" spans="1:56">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c r="AZ66" s="79"/>
      <c r="BA66" s="79"/>
      <c r="BB66" s="79"/>
      <c r="BC66" s="79"/>
      <c r="BD66" s="79"/>
    </row>
    <row r="67" spans="1:56">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c r="AZ67" s="79"/>
      <c r="BA67" s="79"/>
      <c r="BB67" s="79"/>
      <c r="BC67" s="79"/>
      <c r="BD67" s="79"/>
    </row>
    <row r="68" spans="1:56">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c r="AZ68" s="79"/>
      <c r="BA68" s="79"/>
      <c r="BB68" s="79"/>
      <c r="BC68" s="79"/>
      <c r="BD68" s="79"/>
    </row>
    <row r="69" spans="1:56">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c r="AZ69" s="79"/>
      <c r="BA69" s="79"/>
      <c r="BB69" s="79"/>
      <c r="BC69" s="79"/>
      <c r="BD69" s="79"/>
    </row>
    <row r="70" spans="1:56">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c r="AZ70" s="79"/>
      <c r="BA70" s="79"/>
      <c r="BB70" s="79"/>
      <c r="BC70" s="79"/>
      <c r="BD70" s="79"/>
    </row>
    <row r="71" spans="1:56">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c r="AZ71" s="79"/>
      <c r="BA71" s="79"/>
      <c r="BB71" s="79"/>
      <c r="BC71" s="79"/>
      <c r="BD71" s="79"/>
    </row>
    <row r="72" spans="1:56">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c r="AZ72" s="79"/>
      <c r="BA72" s="79"/>
      <c r="BB72" s="79"/>
      <c r="BC72" s="79"/>
      <c r="BD72" s="79"/>
    </row>
    <row r="73" spans="1:56">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c r="AZ73" s="79"/>
      <c r="BA73" s="79"/>
      <c r="BB73" s="79"/>
      <c r="BC73" s="79"/>
      <c r="BD73" s="79"/>
    </row>
    <row r="74" spans="1:56">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c r="AZ74" s="79"/>
      <c r="BA74" s="79"/>
      <c r="BB74" s="79"/>
      <c r="BC74" s="79"/>
      <c r="BD74" s="79"/>
    </row>
    <row r="75" spans="1:56">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c r="AZ75" s="79"/>
      <c r="BA75" s="79"/>
      <c r="BB75" s="79"/>
      <c r="BC75" s="79"/>
      <c r="BD75" s="79"/>
    </row>
    <row r="76" spans="1:56">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c r="AZ76" s="79"/>
      <c r="BA76" s="79"/>
      <c r="BB76" s="79"/>
      <c r="BC76" s="79"/>
      <c r="BD76" s="79"/>
    </row>
    <row r="77" spans="1:56">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c r="AZ77" s="79"/>
      <c r="BA77" s="79"/>
      <c r="BB77" s="79"/>
      <c r="BC77" s="79"/>
      <c r="BD77" s="79"/>
    </row>
    <row r="78" spans="1:56">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c r="AZ78" s="79"/>
      <c r="BA78" s="79"/>
      <c r="BB78" s="79"/>
      <c r="BC78" s="79"/>
      <c r="BD78" s="79"/>
    </row>
    <row r="79" spans="1:56">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c r="AZ79" s="79"/>
      <c r="BA79" s="79"/>
      <c r="BB79" s="79"/>
      <c r="BC79" s="79"/>
      <c r="BD79" s="79"/>
    </row>
    <row r="80" spans="1:56">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c r="AZ80" s="79"/>
      <c r="BA80" s="79"/>
      <c r="BB80" s="79"/>
      <c r="BC80" s="79"/>
      <c r="BD80" s="79"/>
    </row>
    <row r="81" spans="1:56">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c r="AZ81" s="79"/>
      <c r="BA81" s="79"/>
      <c r="BB81" s="79"/>
      <c r="BC81" s="79"/>
      <c r="BD81" s="79"/>
    </row>
    <row r="82" spans="1:56">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c r="AZ82" s="79"/>
      <c r="BA82" s="79"/>
      <c r="BB82" s="79"/>
      <c r="BC82" s="79"/>
      <c r="BD82" s="79"/>
    </row>
    <row r="83" spans="1:56">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c r="AZ83" s="79"/>
      <c r="BA83" s="79"/>
      <c r="BB83" s="79"/>
      <c r="BC83" s="79"/>
      <c r="BD83" s="79"/>
    </row>
    <row r="84" spans="1:56">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c r="AZ84" s="79"/>
      <c r="BA84" s="79"/>
      <c r="BB84" s="79"/>
      <c r="BC84" s="79"/>
      <c r="BD84" s="79"/>
    </row>
    <row r="85" spans="1:56">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c r="AZ85" s="79"/>
      <c r="BA85" s="79"/>
      <c r="BB85" s="79"/>
      <c r="BC85" s="79"/>
      <c r="BD85" s="79"/>
    </row>
    <row r="86" spans="1:56">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c r="AZ86" s="79"/>
      <c r="BA86" s="79"/>
      <c r="BB86" s="79"/>
      <c r="BC86" s="79"/>
      <c r="BD86" s="79"/>
    </row>
    <row r="87" spans="1:56">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c r="AZ87" s="79"/>
      <c r="BA87" s="79"/>
      <c r="BB87" s="79"/>
      <c r="BC87" s="79"/>
      <c r="BD87" s="79"/>
    </row>
    <row r="88" spans="1:56">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c r="AZ88" s="79"/>
      <c r="BA88" s="79"/>
      <c r="BB88" s="79"/>
      <c r="BC88" s="79"/>
      <c r="BD88" s="79"/>
    </row>
    <row r="89" spans="1:56">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c r="AZ89" s="79"/>
      <c r="BA89" s="79"/>
      <c r="BB89" s="79"/>
      <c r="BC89" s="79"/>
      <c r="BD89" s="79"/>
    </row>
    <row r="90" spans="1:56">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c r="AZ90" s="79"/>
      <c r="BA90" s="79"/>
      <c r="BB90" s="79"/>
      <c r="BC90" s="79"/>
      <c r="BD90" s="79"/>
    </row>
    <row r="91" spans="1:56">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c r="AZ91" s="79"/>
      <c r="BA91" s="79"/>
      <c r="BB91" s="79"/>
      <c r="BC91" s="79"/>
      <c r="BD91" s="79"/>
    </row>
    <row r="92" spans="1:56">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c r="AZ92" s="79"/>
      <c r="BA92" s="79"/>
      <c r="BB92" s="79"/>
      <c r="BC92" s="79"/>
      <c r="BD92" s="79"/>
    </row>
    <row r="93" spans="1:56">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c r="AZ93" s="79"/>
      <c r="BA93" s="79"/>
      <c r="BB93" s="79"/>
      <c r="BC93" s="79"/>
      <c r="BD93" s="79"/>
    </row>
    <row r="94" spans="1:56">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c r="AZ94" s="79"/>
      <c r="BA94" s="79"/>
      <c r="BB94" s="79"/>
      <c r="BC94" s="79"/>
      <c r="BD94" s="79"/>
    </row>
    <row r="95" spans="1:56">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c r="AZ95" s="79"/>
      <c r="BA95" s="79"/>
      <c r="BB95" s="79"/>
      <c r="BC95" s="79"/>
      <c r="BD95" s="79"/>
    </row>
    <row r="96" spans="1:56">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c r="AZ96" s="79"/>
      <c r="BA96" s="79"/>
      <c r="BB96" s="79"/>
      <c r="BC96" s="79"/>
      <c r="BD96" s="79"/>
    </row>
    <row r="97" spans="1:56">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c r="AZ97" s="79"/>
      <c r="BA97" s="79"/>
      <c r="BB97" s="79"/>
      <c r="BC97" s="79"/>
      <c r="BD97" s="79"/>
    </row>
    <row r="98" spans="1:56">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c r="AZ98" s="79"/>
      <c r="BA98" s="79"/>
      <c r="BB98" s="79"/>
      <c r="BC98" s="79"/>
      <c r="BD98" s="79"/>
    </row>
    <row r="99" spans="1:56">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c r="AZ99" s="79"/>
      <c r="BA99" s="79"/>
      <c r="BB99" s="79"/>
      <c r="BC99" s="79"/>
      <c r="BD99" s="79"/>
    </row>
    <row r="100" spans="1:56">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c r="AZ100" s="79"/>
      <c r="BA100" s="79"/>
      <c r="BB100" s="79"/>
      <c r="BC100" s="79"/>
      <c r="BD100" s="79"/>
    </row>
    <row r="101" spans="1:56">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row>
    <row r="102" spans="1:56">
      <c r="A102" s="79"/>
      <c r="B102" s="79"/>
      <c r="C102" s="79"/>
      <c r="D102" s="79"/>
      <c r="E102" s="79"/>
      <c r="F102" s="79"/>
      <c r="G102" s="79"/>
      <c r="H102" s="79"/>
      <c r="I102" s="79"/>
      <c r="J102" s="79"/>
      <c r="K102" s="79"/>
      <c r="L102" s="79"/>
      <c r="M102" s="79"/>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c r="AP102" s="79"/>
      <c r="AQ102" s="79"/>
      <c r="AR102" s="79"/>
      <c r="AS102" s="79"/>
      <c r="AT102" s="79"/>
      <c r="AU102" s="79"/>
      <c r="AV102" s="79"/>
      <c r="AW102" s="79"/>
      <c r="AX102" s="79"/>
      <c r="AY102" s="79"/>
      <c r="AZ102" s="79"/>
      <c r="BA102" s="79"/>
      <c r="BB102" s="79"/>
      <c r="BC102" s="79"/>
      <c r="BD102" s="79"/>
    </row>
    <row r="103" spans="1:56">
      <c r="A103" s="79"/>
      <c r="B103" s="79"/>
      <c r="C103" s="79"/>
      <c r="D103" s="79"/>
      <c r="E103" s="79"/>
      <c r="F103" s="79"/>
      <c r="G103" s="79"/>
      <c r="H103" s="79"/>
      <c r="I103" s="79"/>
      <c r="J103" s="79"/>
      <c r="K103" s="79"/>
      <c r="L103" s="79"/>
      <c r="M103" s="79"/>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c r="AP103" s="79"/>
      <c r="AQ103" s="79"/>
      <c r="AR103" s="79"/>
      <c r="AS103" s="79"/>
      <c r="AT103" s="79"/>
      <c r="AU103" s="79"/>
      <c r="AV103" s="79"/>
      <c r="AW103" s="79"/>
      <c r="AX103" s="79"/>
      <c r="AY103" s="79"/>
      <c r="AZ103" s="79"/>
      <c r="BA103" s="79"/>
      <c r="BB103" s="79"/>
      <c r="BC103" s="79"/>
      <c r="BD103" s="79"/>
    </row>
    <row r="104" spans="1:56">
      <c r="A104" s="79"/>
      <c r="B104" s="79"/>
      <c r="C104" s="79"/>
      <c r="D104" s="79"/>
      <c r="E104" s="79"/>
      <c r="F104" s="79"/>
      <c r="G104" s="79"/>
      <c r="H104" s="79"/>
      <c r="I104" s="79"/>
      <c r="J104" s="79"/>
      <c r="K104" s="79"/>
      <c r="L104" s="79"/>
      <c r="M104" s="79"/>
      <c r="N104" s="79"/>
      <c r="O104" s="79"/>
      <c r="P104" s="79"/>
      <c r="Q104" s="79"/>
      <c r="R104" s="79"/>
      <c r="S104" s="79"/>
      <c r="T104" s="79"/>
      <c r="U104" s="79"/>
      <c r="V104" s="79"/>
      <c r="W104" s="79"/>
      <c r="X104" s="79"/>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79"/>
      <c r="AY104" s="79"/>
      <c r="AZ104" s="79"/>
      <c r="BA104" s="79"/>
      <c r="BB104" s="79"/>
      <c r="BC104" s="79"/>
      <c r="BD104" s="79"/>
    </row>
    <row r="105" spans="1:56">
      <c r="A105" s="79"/>
      <c r="B105" s="79"/>
      <c r="C105" s="79"/>
      <c r="D105" s="79"/>
      <c r="E105" s="79"/>
      <c r="F105" s="79"/>
      <c r="G105" s="79"/>
      <c r="H105" s="79"/>
      <c r="I105" s="79"/>
      <c r="J105" s="79"/>
      <c r="K105" s="79"/>
      <c r="L105" s="79"/>
      <c r="M105" s="79"/>
      <c r="N105" s="79"/>
      <c r="O105" s="79"/>
      <c r="P105" s="79"/>
      <c r="Q105" s="79"/>
      <c r="R105" s="79"/>
      <c r="S105" s="79"/>
      <c r="T105" s="79"/>
      <c r="U105" s="79"/>
      <c r="V105" s="79"/>
      <c r="W105" s="79"/>
      <c r="X105" s="79"/>
      <c r="Y105" s="79"/>
      <c r="Z105" s="79"/>
      <c r="AA105" s="79"/>
      <c r="AB105" s="79"/>
      <c r="AC105" s="79"/>
      <c r="AD105" s="79"/>
      <c r="AE105" s="79"/>
      <c r="AF105" s="79"/>
      <c r="AG105" s="79"/>
      <c r="AH105" s="79"/>
      <c r="AI105" s="79"/>
      <c r="AJ105" s="79"/>
      <c r="AK105" s="79"/>
      <c r="AL105" s="79"/>
      <c r="AM105" s="79"/>
      <c r="AN105" s="79"/>
      <c r="AO105" s="79"/>
      <c r="AP105" s="79"/>
      <c r="AQ105" s="79"/>
      <c r="AR105" s="79"/>
      <c r="AS105" s="79"/>
      <c r="AT105" s="79"/>
      <c r="AU105" s="79"/>
      <c r="AV105" s="79"/>
      <c r="AW105" s="79"/>
      <c r="AX105" s="79"/>
      <c r="AY105" s="79"/>
      <c r="AZ105" s="79"/>
      <c r="BA105" s="79"/>
      <c r="BB105" s="79"/>
      <c r="BC105" s="79"/>
      <c r="BD105" s="79"/>
    </row>
    <row r="106" spans="1:56">
      <c r="A106" s="79"/>
      <c r="B106" s="79"/>
      <c r="C106" s="79"/>
      <c r="D106" s="79"/>
      <c r="E106" s="79"/>
      <c r="F106" s="79"/>
      <c r="G106" s="79"/>
      <c r="H106" s="79"/>
      <c r="I106" s="79"/>
      <c r="J106" s="79"/>
      <c r="K106" s="79"/>
      <c r="L106" s="79"/>
      <c r="M106" s="79"/>
      <c r="N106" s="79"/>
      <c r="O106" s="79"/>
      <c r="P106" s="79"/>
      <c r="Q106" s="79"/>
      <c r="R106" s="79"/>
      <c r="S106" s="79"/>
      <c r="T106" s="79"/>
      <c r="U106" s="79"/>
      <c r="V106" s="79"/>
      <c r="W106" s="79"/>
      <c r="X106" s="79"/>
      <c r="Y106" s="79"/>
      <c r="Z106" s="79"/>
      <c r="AA106" s="79"/>
      <c r="AB106" s="79"/>
      <c r="AC106" s="79"/>
      <c r="AD106" s="79"/>
      <c r="AE106" s="79"/>
      <c r="AF106" s="79"/>
      <c r="AG106" s="79"/>
      <c r="AH106" s="79"/>
      <c r="AI106" s="79"/>
      <c r="AJ106" s="79"/>
      <c r="AK106" s="79"/>
      <c r="AL106" s="79"/>
      <c r="AM106" s="79"/>
      <c r="AN106" s="79"/>
      <c r="AO106" s="79"/>
      <c r="AP106" s="79"/>
      <c r="AQ106" s="79"/>
      <c r="AR106" s="79"/>
      <c r="AS106" s="79"/>
      <c r="AT106" s="79"/>
      <c r="AU106" s="79"/>
      <c r="AV106" s="79"/>
      <c r="AW106" s="79"/>
      <c r="AX106" s="79"/>
      <c r="AY106" s="79"/>
      <c r="AZ106" s="79"/>
      <c r="BA106" s="79"/>
      <c r="BB106" s="79"/>
      <c r="BC106" s="79"/>
      <c r="BD106" s="79"/>
    </row>
    <row r="107" spans="1:56">
      <c r="A107" s="79"/>
      <c r="B107" s="79"/>
      <c r="C107" s="79"/>
      <c r="D107" s="79"/>
      <c r="E107" s="79"/>
      <c r="F107" s="79"/>
      <c r="G107" s="79"/>
      <c r="H107" s="79"/>
      <c r="I107" s="79"/>
      <c r="J107" s="79"/>
      <c r="K107" s="79"/>
      <c r="L107" s="79"/>
      <c r="M107" s="79"/>
      <c r="N107" s="79"/>
      <c r="O107" s="79"/>
      <c r="P107" s="79"/>
      <c r="Q107" s="79"/>
      <c r="R107" s="79"/>
      <c r="S107" s="79"/>
      <c r="T107" s="79"/>
      <c r="U107" s="79"/>
      <c r="V107" s="79"/>
      <c r="W107" s="79"/>
      <c r="X107" s="79"/>
      <c r="Y107" s="79"/>
      <c r="Z107" s="79"/>
      <c r="AA107" s="79"/>
      <c r="AB107" s="79"/>
      <c r="AC107" s="79"/>
      <c r="AD107" s="79"/>
      <c r="AE107" s="79"/>
      <c r="AF107" s="79"/>
      <c r="AG107" s="79"/>
      <c r="AH107" s="79"/>
      <c r="AI107" s="79"/>
      <c r="AJ107" s="79"/>
      <c r="AK107" s="79"/>
      <c r="AL107" s="79"/>
      <c r="AM107" s="79"/>
      <c r="AN107" s="79"/>
      <c r="AO107" s="79"/>
      <c r="AP107" s="79"/>
      <c r="AQ107" s="79"/>
      <c r="AR107" s="79"/>
      <c r="AS107" s="79"/>
      <c r="AT107" s="79"/>
      <c r="AU107" s="79"/>
      <c r="AV107" s="79"/>
      <c r="AW107" s="79"/>
      <c r="AX107" s="79"/>
      <c r="AY107" s="79"/>
      <c r="AZ107" s="79"/>
      <c r="BA107" s="79"/>
      <c r="BB107" s="79"/>
      <c r="BC107" s="79"/>
      <c r="BD107" s="79"/>
    </row>
    <row r="108" spans="1:56">
      <c r="A108" s="79"/>
      <c r="B108" s="79"/>
      <c r="C108" s="79"/>
      <c r="D108" s="79"/>
      <c r="E108" s="79"/>
      <c r="F108" s="79"/>
      <c r="G108" s="79"/>
      <c r="H108" s="79"/>
      <c r="I108" s="79"/>
      <c r="J108" s="79"/>
      <c r="K108" s="79"/>
      <c r="L108" s="79"/>
      <c r="M108" s="79"/>
      <c r="N108" s="79"/>
      <c r="O108" s="79"/>
      <c r="P108" s="79"/>
      <c r="Q108" s="79"/>
      <c r="R108" s="79"/>
      <c r="S108" s="79"/>
      <c r="T108" s="79"/>
      <c r="U108" s="79"/>
      <c r="V108" s="79"/>
      <c r="W108" s="79"/>
      <c r="X108" s="79"/>
      <c r="Y108" s="79"/>
      <c r="Z108" s="79"/>
      <c r="AA108" s="79"/>
      <c r="AB108" s="79"/>
      <c r="AC108" s="79"/>
      <c r="AD108" s="79"/>
      <c r="AE108" s="79"/>
      <c r="AF108" s="79"/>
      <c r="AG108" s="79"/>
      <c r="AH108" s="79"/>
      <c r="AI108" s="79"/>
      <c r="AJ108" s="79"/>
      <c r="AK108" s="79"/>
      <c r="AL108" s="79"/>
      <c r="AM108" s="79"/>
      <c r="AN108" s="79"/>
      <c r="AO108" s="79"/>
      <c r="AP108" s="79"/>
      <c r="AQ108" s="79"/>
      <c r="AR108" s="79"/>
      <c r="AS108" s="79"/>
      <c r="AT108" s="79"/>
      <c r="AU108" s="79"/>
      <c r="AV108" s="79"/>
      <c r="AW108" s="79"/>
      <c r="AX108" s="79"/>
      <c r="AY108" s="79"/>
      <c r="AZ108" s="79"/>
      <c r="BA108" s="79"/>
      <c r="BB108" s="79"/>
      <c r="BC108" s="79"/>
      <c r="BD108" s="79"/>
    </row>
    <row r="109" spans="1:56">
      <c r="A109" s="79"/>
      <c r="B109" s="79"/>
      <c r="C109" s="79"/>
      <c r="D109" s="79"/>
      <c r="E109" s="79"/>
      <c r="F109" s="79"/>
      <c r="G109" s="79"/>
      <c r="H109" s="79"/>
      <c r="I109" s="79"/>
      <c r="J109" s="79"/>
      <c r="K109" s="79"/>
      <c r="L109" s="79"/>
      <c r="M109" s="79"/>
      <c r="N109" s="79"/>
      <c r="O109" s="79"/>
      <c r="P109" s="79"/>
      <c r="Q109" s="79"/>
      <c r="R109" s="79"/>
      <c r="S109" s="79"/>
      <c r="T109" s="79"/>
      <c r="U109" s="79"/>
      <c r="V109" s="79"/>
      <c r="W109" s="79"/>
      <c r="X109" s="79"/>
      <c r="Y109" s="79"/>
      <c r="Z109" s="79"/>
      <c r="AA109" s="79"/>
      <c r="AB109" s="79"/>
      <c r="AC109" s="79"/>
      <c r="AD109" s="79"/>
      <c r="AE109" s="79"/>
      <c r="AF109" s="79"/>
      <c r="AG109" s="79"/>
      <c r="AH109" s="79"/>
      <c r="AI109" s="79"/>
      <c r="AJ109" s="79"/>
      <c r="AK109" s="79"/>
      <c r="AL109" s="79"/>
      <c r="AM109" s="79"/>
      <c r="AN109" s="79"/>
      <c r="AO109" s="79"/>
      <c r="AP109" s="79"/>
      <c r="AQ109" s="79"/>
      <c r="AR109" s="79"/>
      <c r="AS109" s="79"/>
      <c r="AT109" s="79"/>
      <c r="AU109" s="79"/>
      <c r="AV109" s="79"/>
      <c r="AW109" s="79"/>
      <c r="AX109" s="79"/>
      <c r="AY109" s="79"/>
      <c r="AZ109" s="79"/>
      <c r="BA109" s="79"/>
      <c r="BB109" s="79"/>
      <c r="BC109" s="79"/>
      <c r="BD109" s="79"/>
    </row>
    <row r="110" spans="1:56">
      <c r="A110" s="79"/>
      <c r="B110" s="79"/>
      <c r="C110" s="79"/>
      <c r="D110" s="79"/>
      <c r="E110" s="79"/>
      <c r="F110" s="79"/>
      <c r="G110" s="79"/>
      <c r="H110" s="79"/>
      <c r="I110" s="79"/>
      <c r="J110" s="79"/>
      <c r="K110" s="79"/>
      <c r="L110" s="79"/>
      <c r="M110" s="79"/>
      <c r="N110" s="79"/>
      <c r="O110" s="79"/>
      <c r="P110" s="79"/>
      <c r="Q110" s="79"/>
      <c r="R110" s="79"/>
      <c r="S110" s="79"/>
      <c r="T110" s="79"/>
      <c r="U110" s="79"/>
      <c r="V110" s="79"/>
      <c r="W110" s="79"/>
      <c r="X110" s="79"/>
      <c r="Y110" s="79"/>
      <c r="Z110" s="79"/>
      <c r="AA110" s="79"/>
      <c r="AB110" s="79"/>
      <c r="AC110" s="79"/>
      <c r="AD110" s="79"/>
      <c r="AE110" s="79"/>
      <c r="AF110" s="79"/>
      <c r="AG110" s="79"/>
      <c r="AH110" s="79"/>
      <c r="AI110" s="79"/>
      <c r="AJ110" s="79"/>
      <c r="AK110" s="79"/>
      <c r="AL110" s="79"/>
      <c r="AM110" s="79"/>
      <c r="AN110" s="79"/>
      <c r="AO110" s="79"/>
      <c r="AP110" s="79"/>
      <c r="AQ110" s="79"/>
      <c r="AR110" s="79"/>
      <c r="AS110" s="79"/>
      <c r="AT110" s="79"/>
      <c r="AU110" s="79"/>
      <c r="AV110" s="79"/>
      <c r="AW110" s="79"/>
      <c r="AX110" s="79"/>
      <c r="AY110" s="79"/>
      <c r="AZ110" s="79"/>
      <c r="BA110" s="79"/>
      <c r="BB110" s="79"/>
      <c r="BC110" s="79"/>
      <c r="BD110" s="79"/>
    </row>
    <row r="111" spans="1:56">
      <c r="A111" s="79"/>
      <c r="B111" s="79"/>
      <c r="C111" s="79"/>
      <c r="D111" s="79"/>
      <c r="E111" s="79"/>
      <c r="F111" s="79"/>
      <c r="G111" s="79"/>
      <c r="H111" s="79"/>
      <c r="I111" s="79"/>
      <c r="J111" s="79"/>
      <c r="K111" s="79"/>
      <c r="L111" s="79"/>
      <c r="M111" s="79"/>
      <c r="N111" s="79"/>
      <c r="O111" s="79"/>
      <c r="P111" s="79"/>
      <c r="Q111" s="79"/>
      <c r="R111" s="79"/>
      <c r="S111" s="79"/>
      <c r="T111" s="79"/>
      <c r="U111" s="79"/>
      <c r="V111" s="79"/>
      <c r="W111" s="79"/>
      <c r="X111" s="79"/>
      <c r="Y111" s="79"/>
      <c r="Z111" s="79"/>
      <c r="AA111" s="79"/>
      <c r="AB111" s="79"/>
      <c r="AC111" s="79"/>
      <c r="AD111" s="79"/>
      <c r="AE111" s="79"/>
      <c r="AF111" s="79"/>
      <c r="AG111" s="79"/>
      <c r="AH111" s="79"/>
      <c r="AI111" s="79"/>
      <c r="AJ111" s="79"/>
      <c r="AK111" s="79"/>
      <c r="AL111" s="79"/>
      <c r="AM111" s="79"/>
      <c r="AN111" s="79"/>
      <c r="AO111" s="79"/>
      <c r="AP111" s="79"/>
      <c r="AQ111" s="79"/>
      <c r="AR111" s="79"/>
      <c r="AS111" s="79"/>
      <c r="AT111" s="79"/>
      <c r="AU111" s="79"/>
      <c r="AV111" s="79"/>
      <c r="AW111" s="79"/>
      <c r="AX111" s="79"/>
      <c r="AY111" s="79"/>
      <c r="AZ111" s="79"/>
      <c r="BA111" s="79"/>
      <c r="BB111" s="79"/>
      <c r="BC111" s="79"/>
      <c r="BD111" s="79"/>
    </row>
    <row r="112" spans="1:56">
      <c r="A112" s="79"/>
      <c r="B112" s="79"/>
      <c r="C112" s="79"/>
      <c r="D112" s="79"/>
      <c r="E112" s="79"/>
      <c r="F112" s="79"/>
      <c r="G112" s="79"/>
      <c r="H112" s="79"/>
      <c r="I112" s="79"/>
      <c r="J112" s="79"/>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c r="BB112" s="79"/>
      <c r="BC112" s="79"/>
      <c r="BD112" s="79"/>
    </row>
    <row r="113" spans="1:56">
      <c r="A113" s="79"/>
      <c r="B113" s="79"/>
      <c r="C113" s="79"/>
      <c r="D113" s="79"/>
      <c r="E113" s="79"/>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79"/>
      <c r="BC113" s="79"/>
      <c r="BD113" s="79"/>
    </row>
    <row r="114" spans="1:56">
      <c r="A114" s="79"/>
      <c r="B114" s="79"/>
      <c r="C114" s="79"/>
      <c r="D114" s="79"/>
      <c r="E114" s="79"/>
      <c r="F114" s="79"/>
      <c r="G114" s="79"/>
      <c r="H114" s="79"/>
      <c r="I114" s="79"/>
      <c r="J114" s="79"/>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79"/>
      <c r="BC114" s="79"/>
      <c r="BD114" s="79"/>
    </row>
    <row r="115" spans="1:56">
      <c r="A115" s="79"/>
      <c r="B115" s="79"/>
      <c r="C115" s="79"/>
      <c r="D115" s="79"/>
      <c r="E115" s="79"/>
      <c r="F115" s="79"/>
      <c r="G115" s="79"/>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79"/>
      <c r="AM115" s="79"/>
      <c r="AN115" s="79"/>
      <c r="AO115" s="79"/>
      <c r="AP115" s="79"/>
      <c r="AQ115" s="79"/>
      <c r="AR115" s="79"/>
      <c r="AS115" s="79"/>
      <c r="AT115" s="79"/>
      <c r="AU115" s="79"/>
      <c r="AV115" s="79"/>
      <c r="AW115" s="79"/>
      <c r="AX115" s="79"/>
      <c r="AY115" s="79"/>
      <c r="AZ115" s="79"/>
      <c r="BA115" s="79"/>
      <c r="BB115" s="79"/>
      <c r="BC115" s="79"/>
      <c r="BD115" s="79"/>
    </row>
    <row r="116" spans="1:56">
      <c r="A116" s="79"/>
      <c r="B116" s="79"/>
      <c r="C116" s="79"/>
      <c r="D116" s="79"/>
      <c r="E116" s="79"/>
      <c r="F116" s="79"/>
      <c r="G116" s="79"/>
      <c r="H116" s="79"/>
      <c r="I116" s="79"/>
      <c r="J116" s="79"/>
      <c r="K116" s="79"/>
      <c r="L116" s="79"/>
      <c r="M116" s="79"/>
      <c r="N116" s="79"/>
      <c r="O116" s="79"/>
      <c r="P116" s="79"/>
      <c r="Q116" s="79"/>
      <c r="R116" s="79"/>
      <c r="S116" s="79"/>
      <c r="T116" s="79"/>
      <c r="U116" s="79"/>
      <c r="V116" s="79"/>
      <c r="W116" s="79"/>
      <c r="X116" s="79"/>
      <c r="Y116" s="79"/>
      <c r="Z116" s="79"/>
      <c r="AA116" s="79"/>
      <c r="AB116" s="79"/>
      <c r="AC116" s="79"/>
      <c r="AD116" s="79"/>
      <c r="AE116" s="79"/>
      <c r="AF116" s="79"/>
      <c r="AG116" s="79"/>
      <c r="AH116" s="79"/>
      <c r="AI116" s="79"/>
      <c r="AJ116" s="79"/>
      <c r="AK116" s="79"/>
      <c r="AL116" s="79"/>
      <c r="AM116" s="79"/>
      <c r="AN116" s="79"/>
      <c r="AO116" s="79"/>
      <c r="AP116" s="79"/>
      <c r="AQ116" s="79"/>
      <c r="AR116" s="79"/>
      <c r="AS116" s="79"/>
      <c r="AT116" s="79"/>
      <c r="AU116" s="79"/>
      <c r="AV116" s="79"/>
      <c r="AW116" s="79"/>
      <c r="AX116" s="79"/>
      <c r="AY116" s="79"/>
      <c r="AZ116" s="79"/>
      <c r="BA116" s="79"/>
      <c r="BB116" s="79"/>
      <c r="BC116" s="79"/>
      <c r="BD116" s="79"/>
    </row>
    <row r="117" spans="1:56">
      <c r="A117" s="79"/>
      <c r="B117" s="79"/>
      <c r="C117" s="79"/>
      <c r="D117" s="79"/>
      <c r="E117" s="79"/>
      <c r="F117" s="79"/>
      <c r="G117" s="79"/>
      <c r="H117" s="79"/>
      <c r="I117" s="79"/>
      <c r="J117" s="79"/>
      <c r="K117" s="79"/>
      <c r="L117" s="79"/>
      <c r="M117" s="79"/>
      <c r="N117" s="79"/>
      <c r="O117" s="79"/>
      <c r="P117" s="79"/>
      <c r="Q117" s="79"/>
      <c r="R117" s="79"/>
      <c r="S117" s="79"/>
      <c r="T117" s="79"/>
      <c r="U117" s="79"/>
      <c r="V117" s="79"/>
      <c r="W117" s="79"/>
      <c r="X117" s="79"/>
      <c r="Y117" s="79"/>
      <c r="Z117" s="79"/>
      <c r="AA117" s="79"/>
      <c r="AB117" s="79"/>
      <c r="AC117" s="79"/>
      <c r="AD117" s="79"/>
      <c r="AE117" s="79"/>
      <c r="AF117" s="79"/>
      <c r="AG117" s="79"/>
      <c r="AH117" s="79"/>
      <c r="AI117" s="79"/>
      <c r="AJ117" s="79"/>
      <c r="AK117" s="79"/>
      <c r="AL117" s="79"/>
      <c r="AM117" s="79"/>
      <c r="AN117" s="79"/>
      <c r="AO117" s="79"/>
      <c r="AP117" s="79"/>
      <c r="AQ117" s="79"/>
      <c r="AR117" s="79"/>
      <c r="AS117" s="79"/>
      <c r="AT117" s="79"/>
      <c r="AU117" s="79"/>
      <c r="AV117" s="79"/>
      <c r="AW117" s="79"/>
      <c r="AX117" s="79"/>
      <c r="AY117" s="79"/>
      <c r="AZ117" s="79"/>
      <c r="BA117" s="79"/>
      <c r="BB117" s="79"/>
      <c r="BC117" s="79"/>
      <c r="BD117" s="79"/>
    </row>
    <row r="118" spans="1:56">
      <c r="A118" s="79"/>
      <c r="B118" s="79"/>
      <c r="C118" s="79"/>
      <c r="D118" s="79"/>
      <c r="E118" s="79"/>
      <c r="F118" s="79"/>
      <c r="G118" s="79"/>
      <c r="H118" s="79"/>
      <c r="I118" s="79"/>
      <c r="J118" s="79"/>
      <c r="K118" s="79"/>
      <c r="L118" s="79"/>
      <c r="M118" s="79"/>
      <c r="N118" s="79"/>
      <c r="O118" s="79"/>
      <c r="P118" s="79"/>
      <c r="Q118" s="79"/>
      <c r="R118" s="79"/>
      <c r="S118" s="79"/>
      <c r="T118" s="79"/>
      <c r="U118" s="79"/>
      <c r="V118" s="79"/>
      <c r="W118" s="79"/>
      <c r="X118" s="79"/>
      <c r="Y118" s="79"/>
      <c r="Z118" s="79"/>
      <c r="AA118" s="79"/>
      <c r="AB118" s="79"/>
      <c r="AC118" s="79"/>
      <c r="AD118" s="79"/>
      <c r="AE118" s="79"/>
      <c r="AF118" s="79"/>
      <c r="AG118" s="79"/>
      <c r="AH118" s="79"/>
      <c r="AI118" s="79"/>
      <c r="AJ118" s="79"/>
      <c r="AK118" s="79"/>
      <c r="AL118" s="79"/>
      <c r="AM118" s="79"/>
      <c r="AN118" s="79"/>
      <c r="AO118" s="79"/>
      <c r="AP118" s="79"/>
      <c r="AQ118" s="79"/>
      <c r="AR118" s="79"/>
      <c r="AS118" s="79"/>
      <c r="AT118" s="79"/>
      <c r="AU118" s="79"/>
      <c r="AV118" s="79"/>
      <c r="AW118" s="79"/>
      <c r="AX118" s="79"/>
      <c r="AY118" s="79"/>
      <c r="AZ118" s="79"/>
      <c r="BA118" s="79"/>
      <c r="BB118" s="79"/>
      <c r="BC118" s="79"/>
      <c r="BD118" s="79"/>
    </row>
    <row r="119" spans="1:56">
      <c r="A119" s="79"/>
      <c r="B119" s="79"/>
      <c r="C119" s="79"/>
      <c r="D119" s="79"/>
      <c r="E119" s="79"/>
      <c r="F119" s="79"/>
      <c r="G119" s="79"/>
      <c r="H119" s="79"/>
      <c r="I119" s="79"/>
      <c r="J119" s="79"/>
      <c r="K119" s="79"/>
      <c r="L119" s="79"/>
      <c r="M119" s="79"/>
      <c r="N119" s="79"/>
      <c r="O119" s="79"/>
      <c r="P119" s="79"/>
      <c r="Q119" s="79"/>
      <c r="R119" s="79"/>
      <c r="S119" s="79"/>
      <c r="T119" s="79"/>
      <c r="U119" s="79"/>
      <c r="V119" s="79"/>
      <c r="W119" s="79"/>
      <c r="X119" s="79"/>
      <c r="Y119" s="79"/>
      <c r="Z119" s="79"/>
      <c r="AA119" s="79"/>
      <c r="AB119" s="79"/>
      <c r="AC119" s="79"/>
      <c r="AD119" s="79"/>
      <c r="AE119" s="79"/>
      <c r="AF119" s="79"/>
      <c r="AG119" s="79"/>
      <c r="AH119" s="79"/>
      <c r="AI119" s="79"/>
      <c r="AJ119" s="79"/>
      <c r="AK119" s="79"/>
      <c r="AL119" s="79"/>
      <c r="AM119" s="79"/>
      <c r="AN119" s="79"/>
      <c r="AO119" s="79"/>
      <c r="AP119" s="79"/>
      <c r="AQ119" s="79"/>
      <c r="AR119" s="79"/>
      <c r="AS119" s="79"/>
      <c r="AT119" s="79"/>
      <c r="AU119" s="79"/>
      <c r="AV119" s="79"/>
      <c r="AW119" s="79"/>
      <c r="AX119" s="79"/>
      <c r="AY119" s="79"/>
      <c r="AZ119" s="79"/>
      <c r="BA119" s="79"/>
      <c r="BB119" s="79"/>
      <c r="BC119" s="79"/>
      <c r="BD119" s="79"/>
    </row>
    <row r="120" spans="1:56">
      <c r="A120" s="79"/>
      <c r="B120" s="79"/>
      <c r="C120" s="79"/>
      <c r="D120" s="79"/>
      <c r="E120" s="79"/>
      <c r="F120" s="79"/>
      <c r="G120" s="79"/>
      <c r="H120" s="79"/>
      <c r="I120" s="79"/>
      <c r="J120" s="79"/>
      <c r="K120" s="79"/>
      <c r="L120" s="79"/>
      <c r="M120" s="79"/>
      <c r="N120" s="79"/>
      <c r="O120" s="79"/>
      <c r="P120" s="79"/>
      <c r="Q120" s="79"/>
      <c r="R120" s="79"/>
      <c r="S120" s="79"/>
      <c r="T120" s="79"/>
      <c r="U120" s="79"/>
      <c r="V120" s="79"/>
      <c r="W120" s="79"/>
      <c r="X120" s="79"/>
      <c r="Y120" s="79"/>
      <c r="Z120" s="79"/>
      <c r="AA120" s="79"/>
      <c r="AB120" s="79"/>
      <c r="AC120" s="79"/>
      <c r="AD120" s="79"/>
      <c r="AE120" s="79"/>
      <c r="AF120" s="79"/>
      <c r="AG120" s="79"/>
      <c r="AH120" s="79"/>
      <c r="AI120" s="79"/>
      <c r="AJ120" s="79"/>
      <c r="AK120" s="79"/>
      <c r="AL120" s="79"/>
      <c r="AM120" s="79"/>
      <c r="AN120" s="79"/>
      <c r="AO120" s="79"/>
      <c r="AP120" s="79"/>
      <c r="AQ120" s="79"/>
      <c r="AR120" s="79"/>
      <c r="AS120" s="79"/>
      <c r="AT120" s="79"/>
      <c r="AU120" s="79"/>
      <c r="AV120" s="79"/>
      <c r="AW120" s="79"/>
      <c r="AX120" s="79"/>
      <c r="AY120" s="79"/>
      <c r="AZ120" s="79"/>
      <c r="BA120" s="79"/>
      <c r="BB120" s="79"/>
      <c r="BC120" s="79"/>
      <c r="BD120" s="79"/>
    </row>
    <row r="121" spans="1:56">
      <c r="A121" s="79"/>
      <c r="B121" s="79"/>
      <c r="C121" s="79"/>
      <c r="D121" s="79"/>
      <c r="E121" s="79"/>
      <c r="F121" s="79"/>
      <c r="G121" s="79"/>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79"/>
      <c r="AM121" s="79"/>
      <c r="AN121" s="79"/>
      <c r="AO121" s="79"/>
      <c r="AP121" s="79"/>
      <c r="AQ121" s="79"/>
      <c r="AR121" s="79"/>
      <c r="AS121" s="79"/>
      <c r="AT121" s="79"/>
      <c r="AU121" s="79"/>
      <c r="AV121" s="79"/>
      <c r="AW121" s="79"/>
      <c r="AX121" s="79"/>
      <c r="AY121" s="79"/>
      <c r="AZ121" s="79"/>
      <c r="BA121" s="79"/>
      <c r="BB121" s="79"/>
      <c r="BC121" s="79"/>
      <c r="BD121" s="79"/>
    </row>
    <row r="122" spans="1:56">
      <c r="A122" s="79"/>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c r="AG122" s="79"/>
      <c r="AH122" s="79"/>
      <c r="AI122" s="79"/>
      <c r="AJ122" s="79"/>
      <c r="AK122" s="79"/>
      <c r="AL122" s="79"/>
      <c r="AM122" s="79"/>
      <c r="AN122" s="79"/>
      <c r="AO122" s="79"/>
      <c r="AP122" s="79"/>
      <c r="AQ122" s="79"/>
      <c r="AR122" s="79"/>
      <c r="AS122" s="79"/>
      <c r="AT122" s="79"/>
      <c r="AU122" s="79"/>
      <c r="AV122" s="79"/>
      <c r="AW122" s="79"/>
      <c r="AX122" s="79"/>
      <c r="AY122" s="79"/>
      <c r="AZ122" s="79"/>
      <c r="BA122" s="79"/>
      <c r="BB122" s="79"/>
      <c r="BC122" s="79"/>
      <c r="BD122" s="79"/>
    </row>
    <row r="123" spans="1:56">
      <c r="A123" s="79"/>
      <c r="B123" s="79"/>
      <c r="C123" s="79"/>
      <c r="D123" s="79"/>
      <c r="E123" s="79"/>
      <c r="F123" s="79"/>
      <c r="G123" s="79"/>
      <c r="H123" s="79"/>
      <c r="I123" s="79"/>
      <c r="J123" s="79"/>
      <c r="K123" s="79"/>
      <c r="L123" s="79"/>
      <c r="M123" s="79"/>
      <c r="N123" s="79"/>
      <c r="O123" s="79"/>
      <c r="P123" s="79"/>
      <c r="Q123" s="79"/>
      <c r="R123" s="79"/>
      <c r="S123" s="79"/>
      <c r="T123" s="79"/>
      <c r="U123" s="79"/>
      <c r="V123" s="79"/>
      <c r="W123" s="79"/>
      <c r="X123" s="79"/>
      <c r="Y123" s="79"/>
      <c r="Z123" s="79"/>
      <c r="AA123" s="79"/>
      <c r="AB123" s="79"/>
      <c r="AC123" s="79"/>
      <c r="AD123" s="79"/>
      <c r="AE123" s="79"/>
      <c r="AF123" s="79"/>
      <c r="AG123" s="79"/>
      <c r="AH123" s="79"/>
      <c r="AI123" s="79"/>
      <c r="AJ123" s="79"/>
      <c r="AK123" s="79"/>
      <c r="AL123" s="79"/>
      <c r="AM123" s="79"/>
      <c r="AN123" s="79"/>
      <c r="AO123" s="79"/>
      <c r="AP123" s="79"/>
      <c r="AQ123" s="79"/>
      <c r="AR123" s="79"/>
      <c r="AS123" s="79"/>
      <c r="AT123" s="79"/>
      <c r="AU123" s="79"/>
      <c r="AV123" s="79"/>
      <c r="AW123" s="79"/>
      <c r="AX123" s="79"/>
      <c r="AY123" s="79"/>
      <c r="AZ123" s="79"/>
      <c r="BA123" s="79"/>
      <c r="BB123" s="79"/>
      <c r="BC123" s="79"/>
      <c r="BD123" s="79"/>
    </row>
    <row r="124" spans="1:56">
      <c r="A124" s="79"/>
      <c r="B124" s="79"/>
      <c r="C124" s="79"/>
      <c r="D124" s="79"/>
      <c r="E124" s="79"/>
      <c r="F124" s="79"/>
      <c r="G124" s="79"/>
      <c r="H124" s="79"/>
      <c r="I124" s="79"/>
      <c r="J124" s="79"/>
      <c r="K124" s="79"/>
      <c r="L124" s="79"/>
      <c r="M124" s="79"/>
      <c r="N124" s="79"/>
      <c r="O124" s="79"/>
      <c r="P124" s="79"/>
      <c r="Q124" s="79"/>
      <c r="R124" s="79"/>
      <c r="S124" s="79"/>
      <c r="T124" s="79"/>
      <c r="U124" s="79"/>
      <c r="V124" s="79"/>
      <c r="W124" s="79"/>
      <c r="X124" s="79"/>
      <c r="Y124" s="79"/>
      <c r="Z124" s="79"/>
      <c r="AA124" s="79"/>
      <c r="AB124" s="79"/>
      <c r="AC124" s="79"/>
      <c r="AD124" s="79"/>
      <c r="AE124" s="79"/>
      <c r="AF124" s="79"/>
      <c r="AG124" s="79"/>
      <c r="AH124" s="79"/>
      <c r="AI124" s="79"/>
      <c r="AJ124" s="79"/>
      <c r="AK124" s="79"/>
      <c r="AL124" s="79"/>
      <c r="AM124" s="79"/>
      <c r="AN124" s="79"/>
      <c r="AO124" s="79"/>
      <c r="AP124" s="79"/>
      <c r="AQ124" s="79"/>
      <c r="AR124" s="79"/>
      <c r="AS124" s="79"/>
      <c r="AT124" s="79"/>
      <c r="AU124" s="79"/>
      <c r="AV124" s="79"/>
      <c r="AW124" s="79"/>
      <c r="AX124" s="79"/>
      <c r="AY124" s="79"/>
      <c r="AZ124" s="79"/>
      <c r="BA124" s="79"/>
      <c r="BB124" s="79"/>
      <c r="BC124" s="79"/>
      <c r="BD124" s="79"/>
    </row>
    <row r="125" spans="1:56">
      <c r="A125" s="79"/>
      <c r="B125" s="79"/>
      <c r="C125" s="79"/>
      <c r="D125" s="79"/>
      <c r="E125" s="79"/>
      <c r="F125" s="79"/>
      <c r="G125" s="79"/>
      <c r="H125" s="79"/>
      <c r="I125" s="79"/>
      <c r="J125" s="79"/>
      <c r="K125" s="79"/>
      <c r="L125" s="79"/>
      <c r="M125" s="79"/>
      <c r="N125" s="79"/>
      <c r="O125" s="79"/>
      <c r="P125" s="79"/>
      <c r="Q125" s="79"/>
      <c r="R125" s="79"/>
      <c r="S125" s="79"/>
      <c r="T125" s="79"/>
      <c r="U125" s="79"/>
      <c r="V125" s="79"/>
      <c r="W125" s="79"/>
      <c r="X125" s="79"/>
      <c r="Y125" s="79"/>
      <c r="Z125" s="79"/>
      <c r="AA125" s="79"/>
      <c r="AB125" s="79"/>
      <c r="AC125" s="79"/>
      <c r="AD125" s="79"/>
      <c r="AE125" s="79"/>
      <c r="AF125" s="79"/>
      <c r="AG125" s="79"/>
      <c r="AH125" s="79"/>
      <c r="AI125" s="79"/>
      <c r="AJ125" s="79"/>
      <c r="AK125" s="79"/>
      <c r="AL125" s="79"/>
      <c r="AM125" s="79"/>
      <c r="AN125" s="79"/>
      <c r="AO125" s="79"/>
      <c r="AP125" s="79"/>
      <c r="AQ125" s="79"/>
      <c r="AR125" s="79"/>
      <c r="AS125" s="79"/>
      <c r="AT125" s="79"/>
      <c r="AU125" s="79"/>
      <c r="AV125" s="79"/>
      <c r="AW125" s="79"/>
      <c r="AX125" s="79"/>
      <c r="AY125" s="79"/>
      <c r="AZ125" s="79"/>
      <c r="BA125" s="79"/>
      <c r="BB125" s="79"/>
      <c r="BC125" s="79"/>
      <c r="BD125" s="79"/>
    </row>
    <row r="126" spans="1:56">
      <c r="A126" s="79"/>
      <c r="B126" s="79"/>
      <c r="C126" s="79"/>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79"/>
      <c r="AB126" s="79"/>
      <c r="AC126" s="79"/>
      <c r="AD126" s="79"/>
      <c r="AE126" s="79"/>
      <c r="AF126" s="79"/>
      <c r="AG126" s="79"/>
      <c r="AH126" s="79"/>
      <c r="AI126" s="79"/>
      <c r="AJ126" s="79"/>
      <c r="AK126" s="79"/>
      <c r="AL126" s="79"/>
      <c r="AM126" s="79"/>
      <c r="AN126" s="79"/>
      <c r="AO126" s="79"/>
      <c r="AP126" s="79"/>
      <c r="AQ126" s="79"/>
      <c r="AR126" s="79"/>
      <c r="AS126" s="79"/>
      <c r="AT126" s="79"/>
      <c r="AU126" s="79"/>
      <c r="AV126" s="79"/>
      <c r="AW126" s="79"/>
      <c r="AX126" s="79"/>
      <c r="AY126" s="79"/>
      <c r="AZ126" s="79"/>
      <c r="BA126" s="79"/>
      <c r="BB126" s="79"/>
      <c r="BC126" s="79"/>
      <c r="BD126" s="79"/>
    </row>
    <row r="127" spans="1:56">
      <c r="A127" s="79"/>
      <c r="B127" s="79"/>
      <c r="C127" s="79"/>
      <c r="D127" s="79"/>
      <c r="E127" s="79"/>
      <c r="F127" s="79"/>
      <c r="G127" s="79"/>
      <c r="H127" s="79"/>
      <c r="I127" s="79"/>
      <c r="J127" s="79"/>
      <c r="K127" s="79"/>
      <c r="L127" s="79"/>
      <c r="M127" s="79"/>
      <c r="N127" s="79"/>
      <c r="O127" s="79"/>
      <c r="P127" s="79"/>
      <c r="Q127" s="79"/>
      <c r="R127" s="79"/>
      <c r="S127" s="79"/>
      <c r="T127" s="79"/>
      <c r="U127" s="79"/>
      <c r="V127" s="79"/>
      <c r="W127" s="79"/>
      <c r="X127" s="79"/>
      <c r="Y127" s="79"/>
      <c r="Z127" s="79"/>
      <c r="AA127" s="79"/>
      <c r="AB127" s="79"/>
      <c r="AC127" s="79"/>
      <c r="AD127" s="79"/>
      <c r="AE127" s="79"/>
      <c r="AF127" s="79"/>
      <c r="AG127" s="79"/>
      <c r="AH127" s="79"/>
      <c r="AI127" s="79"/>
      <c r="AJ127" s="79"/>
      <c r="AK127" s="79"/>
      <c r="AL127" s="79"/>
      <c r="AM127" s="79"/>
      <c r="AN127" s="79"/>
      <c r="AO127" s="79"/>
      <c r="AP127" s="79"/>
      <c r="AQ127" s="79"/>
      <c r="AR127" s="79"/>
      <c r="AS127" s="79"/>
      <c r="AT127" s="79"/>
      <c r="AU127" s="79"/>
      <c r="AV127" s="79"/>
      <c r="AW127" s="79"/>
      <c r="AX127" s="79"/>
      <c r="AY127" s="79"/>
      <c r="AZ127" s="79"/>
      <c r="BA127" s="79"/>
      <c r="BB127" s="79"/>
      <c r="BC127" s="79"/>
      <c r="BD127" s="79"/>
    </row>
    <row r="128" spans="1:56">
      <c r="A128" s="79"/>
      <c r="B128" s="79"/>
      <c r="C128" s="79"/>
      <c r="D128" s="79"/>
      <c r="E128" s="79"/>
      <c r="F128" s="79"/>
      <c r="G128" s="79"/>
      <c r="H128" s="79"/>
      <c r="I128" s="79"/>
      <c r="J128" s="79"/>
      <c r="K128" s="79"/>
      <c r="L128" s="79"/>
      <c r="M128" s="79"/>
      <c r="N128" s="79"/>
      <c r="O128" s="79"/>
      <c r="P128" s="79"/>
      <c r="Q128" s="79"/>
      <c r="R128" s="79"/>
      <c r="S128" s="79"/>
      <c r="T128" s="79"/>
      <c r="U128" s="79"/>
      <c r="V128" s="79"/>
      <c r="W128" s="79"/>
      <c r="X128" s="79"/>
      <c r="Y128" s="79"/>
      <c r="Z128" s="79"/>
      <c r="AA128" s="79"/>
      <c r="AB128" s="79"/>
      <c r="AC128" s="79"/>
      <c r="AD128" s="79"/>
      <c r="AE128" s="79"/>
      <c r="AF128" s="79"/>
      <c r="AG128" s="79"/>
      <c r="AH128" s="79"/>
      <c r="AI128" s="79"/>
      <c r="AJ128" s="79"/>
      <c r="AK128" s="79"/>
      <c r="AL128" s="79"/>
      <c r="AM128" s="79"/>
      <c r="AN128" s="79"/>
      <c r="AO128" s="79"/>
      <c r="AP128" s="79"/>
      <c r="AQ128" s="79"/>
      <c r="AR128" s="79"/>
      <c r="AS128" s="79"/>
      <c r="AT128" s="79"/>
      <c r="AU128" s="79"/>
      <c r="AV128" s="79"/>
      <c r="AW128" s="79"/>
      <c r="AX128" s="79"/>
      <c r="AY128" s="79"/>
      <c r="AZ128" s="79"/>
      <c r="BA128" s="79"/>
      <c r="BB128" s="79"/>
      <c r="BC128" s="79"/>
      <c r="BD128" s="79"/>
    </row>
    <row r="129" spans="1:56">
      <c r="A129" s="79"/>
      <c r="B129" s="79"/>
      <c r="C129" s="79"/>
      <c r="D129" s="79"/>
      <c r="E129" s="79"/>
      <c r="F129" s="79"/>
      <c r="G129" s="79"/>
      <c r="H129" s="79"/>
      <c r="I129" s="79"/>
      <c r="J129" s="79"/>
      <c r="K129" s="79"/>
      <c r="L129" s="79"/>
      <c r="M129" s="79"/>
      <c r="N129" s="79"/>
      <c r="O129" s="79"/>
      <c r="P129" s="79"/>
      <c r="Q129" s="79"/>
      <c r="R129" s="79"/>
      <c r="S129" s="79"/>
      <c r="T129" s="79"/>
      <c r="U129" s="79"/>
      <c r="V129" s="79"/>
      <c r="W129" s="79"/>
      <c r="X129" s="79"/>
      <c r="Y129" s="79"/>
      <c r="Z129" s="79"/>
      <c r="AA129" s="79"/>
      <c r="AB129" s="79"/>
      <c r="AC129" s="79"/>
      <c r="AD129" s="79"/>
      <c r="AE129" s="79"/>
      <c r="AF129" s="79"/>
      <c r="AG129" s="79"/>
      <c r="AH129" s="79"/>
      <c r="AI129" s="79"/>
      <c r="AJ129" s="79"/>
      <c r="AK129" s="79"/>
      <c r="AL129" s="79"/>
      <c r="AM129" s="79"/>
      <c r="AN129" s="79"/>
      <c r="AO129" s="79"/>
      <c r="AP129" s="79"/>
      <c r="AQ129" s="79"/>
      <c r="AR129" s="79"/>
      <c r="AS129" s="79"/>
      <c r="AT129" s="79"/>
      <c r="AU129" s="79"/>
      <c r="AV129" s="79"/>
      <c r="AW129" s="79"/>
      <c r="AX129" s="79"/>
      <c r="AY129" s="79"/>
      <c r="AZ129" s="79"/>
      <c r="BA129" s="79"/>
      <c r="BB129" s="79"/>
      <c r="BC129" s="79"/>
      <c r="BD129" s="79"/>
    </row>
    <row r="130" spans="1:56">
      <c r="A130" s="79"/>
      <c r="B130" s="79"/>
      <c r="C130" s="79"/>
      <c r="D130" s="79"/>
      <c r="E130" s="79"/>
      <c r="F130" s="79"/>
      <c r="G130" s="79"/>
      <c r="H130" s="79"/>
      <c r="I130" s="79"/>
      <c r="J130" s="79"/>
      <c r="K130" s="79"/>
      <c r="L130" s="79"/>
      <c r="M130" s="79"/>
      <c r="N130" s="79"/>
      <c r="O130" s="79"/>
      <c r="P130" s="79"/>
      <c r="Q130" s="79"/>
      <c r="R130" s="79"/>
      <c r="S130" s="79"/>
      <c r="T130" s="79"/>
      <c r="U130" s="79"/>
      <c r="V130" s="79"/>
      <c r="W130" s="79"/>
      <c r="X130" s="79"/>
      <c r="Y130" s="79"/>
      <c r="Z130" s="79"/>
      <c r="AA130" s="79"/>
      <c r="AB130" s="79"/>
      <c r="AC130" s="79"/>
      <c r="AD130" s="79"/>
      <c r="AE130" s="79"/>
      <c r="AF130" s="79"/>
      <c r="AG130" s="79"/>
      <c r="AH130" s="79"/>
      <c r="AI130" s="79"/>
      <c r="AJ130" s="79"/>
      <c r="AK130" s="79"/>
      <c r="AL130" s="79"/>
      <c r="AM130" s="79"/>
      <c r="AN130" s="79"/>
      <c r="AO130" s="79"/>
      <c r="AP130" s="79"/>
      <c r="AQ130" s="79"/>
      <c r="AR130" s="79"/>
      <c r="AS130" s="79"/>
      <c r="AT130" s="79"/>
      <c r="AU130" s="79"/>
      <c r="AV130" s="79"/>
      <c r="AW130" s="79"/>
      <c r="AX130" s="79"/>
      <c r="AY130" s="79"/>
      <c r="AZ130" s="79"/>
      <c r="BA130" s="79"/>
      <c r="BB130" s="79"/>
      <c r="BC130" s="79"/>
      <c r="BD130" s="79"/>
    </row>
    <row r="131" spans="1:56">
      <c r="A131" s="79"/>
      <c r="B131" s="79"/>
      <c r="C131" s="79"/>
      <c r="D131" s="79"/>
      <c r="E131" s="79"/>
      <c r="F131" s="79"/>
      <c r="G131" s="79"/>
      <c r="H131" s="79"/>
      <c r="I131" s="79"/>
      <c r="J131" s="79"/>
      <c r="K131" s="79"/>
      <c r="L131" s="79"/>
      <c r="M131" s="79"/>
      <c r="N131" s="79"/>
      <c r="O131" s="79"/>
      <c r="P131" s="79"/>
      <c r="Q131" s="79"/>
      <c r="R131" s="79"/>
      <c r="S131" s="79"/>
      <c r="T131" s="79"/>
      <c r="U131" s="79"/>
      <c r="V131" s="79"/>
      <c r="W131" s="79"/>
      <c r="X131" s="79"/>
      <c r="Y131" s="79"/>
      <c r="Z131" s="79"/>
      <c r="AA131" s="79"/>
      <c r="AB131" s="79"/>
      <c r="AC131" s="79"/>
      <c r="AD131" s="79"/>
      <c r="AE131" s="79"/>
      <c r="AF131" s="79"/>
      <c r="AG131" s="79"/>
      <c r="AH131" s="79"/>
      <c r="AI131" s="79"/>
      <c r="AJ131" s="79"/>
      <c r="AK131" s="79"/>
      <c r="AL131" s="79"/>
      <c r="AM131" s="79"/>
      <c r="AN131" s="79"/>
      <c r="AO131" s="79"/>
      <c r="AP131" s="79"/>
      <c r="AQ131" s="79"/>
      <c r="AR131" s="79"/>
      <c r="AS131" s="79"/>
      <c r="AT131" s="79"/>
      <c r="AU131" s="79"/>
      <c r="AV131" s="79"/>
      <c r="AW131" s="79"/>
      <c r="AX131" s="79"/>
      <c r="AY131" s="79"/>
      <c r="AZ131" s="79"/>
      <c r="BA131" s="79"/>
      <c r="BB131" s="79"/>
      <c r="BC131" s="79"/>
      <c r="BD131" s="79"/>
    </row>
    <row r="132" spans="1:56">
      <c r="A132" s="79"/>
      <c r="B132" s="79"/>
      <c r="C132" s="79"/>
      <c r="D132" s="79"/>
      <c r="E132" s="79"/>
      <c r="F132" s="79"/>
      <c r="G132" s="79"/>
      <c r="H132" s="79"/>
      <c r="I132" s="79"/>
      <c r="J132" s="79"/>
      <c r="K132" s="79"/>
      <c r="L132" s="79"/>
      <c r="M132" s="79"/>
      <c r="N132" s="79"/>
      <c r="O132" s="79"/>
      <c r="P132" s="79"/>
      <c r="Q132" s="79"/>
      <c r="R132" s="79"/>
      <c r="S132" s="79"/>
      <c r="T132" s="79"/>
      <c r="U132" s="79"/>
      <c r="V132" s="79"/>
      <c r="W132" s="79"/>
      <c r="X132" s="79"/>
      <c r="Y132" s="79"/>
      <c r="Z132" s="79"/>
      <c r="AA132" s="79"/>
      <c r="AB132" s="79"/>
      <c r="AC132" s="79"/>
      <c r="AD132" s="79"/>
      <c r="AE132" s="79"/>
      <c r="AF132" s="79"/>
      <c r="AG132" s="79"/>
      <c r="AH132" s="79"/>
      <c r="AI132" s="79"/>
      <c r="AJ132" s="79"/>
      <c r="AK132" s="79"/>
      <c r="AL132" s="79"/>
      <c r="AM132" s="79"/>
      <c r="AN132" s="79"/>
      <c r="AO132" s="79"/>
      <c r="AP132" s="79"/>
      <c r="AQ132" s="79"/>
      <c r="AR132" s="79"/>
      <c r="AS132" s="79"/>
      <c r="AT132" s="79"/>
      <c r="AU132" s="79"/>
      <c r="AV132" s="79"/>
      <c r="AW132" s="79"/>
      <c r="AX132" s="79"/>
      <c r="AY132" s="79"/>
      <c r="AZ132" s="79"/>
      <c r="BA132" s="79"/>
      <c r="BB132" s="79"/>
      <c r="BC132" s="79"/>
      <c r="BD132" s="79"/>
    </row>
    <row r="133" spans="1:56">
      <c r="A133" s="79"/>
      <c r="B133" s="79"/>
      <c r="C133" s="79"/>
      <c r="D133" s="79"/>
      <c r="E133" s="79"/>
      <c r="F133" s="79"/>
      <c r="G133" s="79"/>
      <c r="H133" s="79"/>
      <c r="I133" s="79"/>
      <c r="J133" s="79"/>
      <c r="K133" s="79"/>
      <c r="L133" s="79"/>
      <c r="M133" s="79"/>
      <c r="N133" s="79"/>
      <c r="O133" s="79"/>
      <c r="P133" s="79"/>
      <c r="Q133" s="79"/>
      <c r="R133" s="79"/>
      <c r="S133" s="79"/>
      <c r="T133" s="79"/>
      <c r="U133" s="79"/>
      <c r="V133" s="79"/>
      <c r="W133" s="79"/>
      <c r="X133" s="79"/>
      <c r="Y133" s="79"/>
      <c r="Z133" s="79"/>
      <c r="AA133" s="79"/>
      <c r="AB133" s="79"/>
      <c r="AC133" s="79"/>
      <c r="AD133" s="79"/>
      <c r="AE133" s="79"/>
      <c r="AF133" s="79"/>
      <c r="AG133" s="79"/>
      <c r="AH133" s="79"/>
      <c r="AI133" s="79"/>
      <c r="AJ133" s="79"/>
      <c r="AK133" s="79"/>
      <c r="AL133" s="79"/>
      <c r="AM133" s="79"/>
      <c r="AN133" s="79"/>
      <c r="AO133" s="79"/>
      <c r="AP133" s="79"/>
      <c r="AQ133" s="79"/>
      <c r="AR133" s="79"/>
      <c r="AS133" s="79"/>
      <c r="AT133" s="79"/>
      <c r="AU133" s="79"/>
      <c r="AV133" s="79"/>
      <c r="AW133" s="79"/>
      <c r="AX133" s="79"/>
      <c r="AY133" s="79"/>
      <c r="AZ133" s="79"/>
      <c r="BA133" s="79"/>
      <c r="BB133" s="79"/>
      <c r="BC133" s="79"/>
      <c r="BD133" s="79"/>
    </row>
    <row r="134" spans="1:56">
      <c r="A134" s="79"/>
      <c r="B134" s="79"/>
      <c r="C134" s="79"/>
      <c r="D134" s="79"/>
      <c r="E134" s="79"/>
      <c r="F134" s="79"/>
      <c r="G134" s="79"/>
      <c r="H134" s="79"/>
      <c r="I134" s="79"/>
      <c r="J134" s="79"/>
      <c r="K134" s="79"/>
      <c r="L134" s="79"/>
      <c r="M134" s="79"/>
      <c r="N134" s="79"/>
      <c r="O134" s="79"/>
      <c r="P134" s="79"/>
      <c r="Q134" s="79"/>
      <c r="R134" s="79"/>
      <c r="S134" s="79"/>
      <c r="T134" s="79"/>
      <c r="U134" s="79"/>
      <c r="V134" s="79"/>
      <c r="W134" s="79"/>
      <c r="X134" s="79"/>
      <c r="Y134" s="79"/>
      <c r="Z134" s="79"/>
      <c r="AA134" s="79"/>
      <c r="AB134" s="79"/>
      <c r="AC134" s="79"/>
      <c r="AD134" s="79"/>
      <c r="AE134" s="79"/>
      <c r="AF134" s="79"/>
      <c r="AG134" s="79"/>
      <c r="AH134" s="79"/>
      <c r="AI134" s="79"/>
      <c r="AJ134" s="79"/>
      <c r="AK134" s="79"/>
      <c r="AL134" s="79"/>
      <c r="AM134" s="79"/>
      <c r="AN134" s="79"/>
      <c r="AO134" s="79"/>
      <c r="AP134" s="79"/>
      <c r="AQ134" s="79"/>
      <c r="AR134" s="79"/>
      <c r="AS134" s="79"/>
      <c r="AT134" s="79"/>
      <c r="AU134" s="79"/>
      <c r="AV134" s="79"/>
      <c r="AW134" s="79"/>
      <c r="AX134" s="79"/>
      <c r="AY134" s="79"/>
      <c r="AZ134" s="79"/>
      <c r="BA134" s="79"/>
      <c r="BB134" s="79"/>
      <c r="BC134" s="79"/>
      <c r="BD134" s="79"/>
    </row>
    <row r="135" spans="1:56">
      <c r="A135" s="79"/>
      <c r="B135" s="79"/>
      <c r="C135" s="79"/>
      <c r="D135" s="79"/>
      <c r="E135" s="79"/>
      <c r="F135" s="79"/>
      <c r="G135" s="79"/>
      <c r="H135" s="79"/>
      <c r="I135" s="79"/>
      <c r="J135" s="79"/>
      <c r="K135" s="79"/>
      <c r="L135" s="79"/>
      <c r="M135" s="79"/>
      <c r="N135" s="79"/>
      <c r="O135" s="79"/>
      <c r="P135" s="79"/>
      <c r="Q135" s="79"/>
      <c r="R135" s="79"/>
      <c r="S135" s="79"/>
      <c r="T135" s="79"/>
      <c r="U135" s="79"/>
      <c r="V135" s="79"/>
      <c r="W135" s="79"/>
      <c r="X135" s="79"/>
      <c r="Y135" s="79"/>
      <c r="Z135" s="79"/>
      <c r="AA135" s="79"/>
      <c r="AB135" s="79"/>
      <c r="AC135" s="79"/>
      <c r="AD135" s="79"/>
      <c r="AE135" s="79"/>
      <c r="AF135" s="79"/>
      <c r="AG135" s="79"/>
      <c r="AH135" s="79"/>
      <c r="AI135" s="79"/>
      <c r="AJ135" s="79"/>
      <c r="AK135" s="79"/>
      <c r="AL135" s="79"/>
      <c r="AM135" s="79"/>
      <c r="AN135" s="79"/>
      <c r="AO135" s="79"/>
      <c r="AP135" s="79"/>
      <c r="AQ135" s="79"/>
      <c r="AR135" s="79"/>
      <c r="AS135" s="79"/>
      <c r="AT135" s="79"/>
      <c r="AU135" s="79"/>
      <c r="AV135" s="79"/>
      <c r="AW135" s="79"/>
      <c r="AX135" s="79"/>
      <c r="AY135" s="79"/>
      <c r="AZ135" s="79"/>
      <c r="BA135" s="79"/>
      <c r="BB135" s="79"/>
      <c r="BC135" s="79"/>
      <c r="BD135" s="79"/>
    </row>
    <row r="136" spans="1:56">
      <c r="A136" s="79"/>
      <c r="B136" s="79"/>
      <c r="C136" s="79"/>
      <c r="D136" s="79"/>
      <c r="E136" s="79"/>
      <c r="F136" s="79"/>
      <c r="G136" s="79"/>
      <c r="H136" s="79"/>
      <c r="I136" s="79"/>
      <c r="J136" s="79"/>
      <c r="K136" s="79"/>
      <c r="L136" s="79"/>
      <c r="M136" s="79"/>
      <c r="N136" s="79"/>
      <c r="O136" s="79"/>
      <c r="P136" s="79"/>
      <c r="Q136" s="79"/>
      <c r="R136" s="79"/>
      <c r="S136" s="79"/>
      <c r="T136" s="79"/>
      <c r="U136" s="79"/>
      <c r="V136" s="79"/>
      <c r="W136" s="79"/>
      <c r="X136" s="79"/>
      <c r="Y136" s="79"/>
      <c r="Z136" s="79"/>
      <c r="AA136" s="79"/>
      <c r="AB136" s="79"/>
      <c r="AC136" s="79"/>
      <c r="AD136" s="79"/>
      <c r="AE136" s="79"/>
      <c r="AF136" s="79"/>
      <c r="AG136" s="79"/>
      <c r="AH136" s="79"/>
      <c r="AI136" s="79"/>
      <c r="AJ136" s="79"/>
      <c r="AK136" s="79"/>
      <c r="AL136" s="79"/>
      <c r="AM136" s="79"/>
      <c r="AN136" s="79"/>
      <c r="AO136" s="79"/>
      <c r="AP136" s="79"/>
      <c r="AQ136" s="79"/>
      <c r="AR136" s="79"/>
      <c r="AS136" s="79"/>
      <c r="AT136" s="79"/>
      <c r="AU136" s="79"/>
      <c r="AV136" s="79"/>
      <c r="AW136" s="79"/>
      <c r="AX136" s="79"/>
      <c r="AY136" s="79"/>
      <c r="AZ136" s="79"/>
      <c r="BA136" s="79"/>
      <c r="BB136" s="79"/>
      <c r="BC136" s="79"/>
      <c r="BD136" s="79"/>
    </row>
    <row r="137" spans="1:56">
      <c r="A137" s="79"/>
      <c r="B137" s="79"/>
      <c r="C137" s="79"/>
      <c r="D137" s="79"/>
      <c r="E137" s="79"/>
      <c r="F137" s="79"/>
      <c r="G137" s="79"/>
      <c r="H137" s="79"/>
      <c r="I137" s="79"/>
      <c r="J137" s="79"/>
      <c r="K137" s="79"/>
      <c r="L137" s="79"/>
      <c r="M137" s="79"/>
      <c r="N137" s="79"/>
      <c r="O137" s="79"/>
      <c r="P137" s="79"/>
      <c r="Q137" s="79"/>
      <c r="R137" s="79"/>
      <c r="S137" s="79"/>
      <c r="T137" s="79"/>
      <c r="U137" s="79"/>
      <c r="V137" s="79"/>
      <c r="W137" s="79"/>
      <c r="X137" s="79"/>
      <c r="Y137" s="79"/>
      <c r="Z137" s="79"/>
      <c r="AA137" s="79"/>
      <c r="AB137" s="79"/>
      <c r="AC137" s="79"/>
      <c r="AD137" s="79"/>
      <c r="AE137" s="79"/>
      <c r="AF137" s="79"/>
      <c r="AG137" s="79"/>
      <c r="AH137" s="79"/>
      <c r="AI137" s="79"/>
      <c r="AJ137" s="79"/>
      <c r="AK137" s="79"/>
      <c r="AL137" s="79"/>
      <c r="AM137" s="79"/>
      <c r="AN137" s="79"/>
      <c r="AO137" s="79"/>
      <c r="AP137" s="79"/>
      <c r="AQ137" s="79"/>
      <c r="AR137" s="79"/>
      <c r="AS137" s="79"/>
      <c r="AT137" s="79"/>
      <c r="AU137" s="79"/>
      <c r="AV137" s="79"/>
      <c r="AW137" s="79"/>
      <c r="AX137" s="79"/>
      <c r="AY137" s="79"/>
      <c r="AZ137" s="79"/>
      <c r="BA137" s="79"/>
      <c r="BB137" s="79"/>
      <c r="BC137" s="79"/>
      <c r="BD137" s="79"/>
    </row>
    <row r="138" spans="1:56">
      <c r="A138" s="79"/>
      <c r="B138" s="79"/>
      <c r="C138" s="79"/>
      <c r="D138" s="79"/>
      <c r="E138" s="79"/>
      <c r="F138" s="79"/>
      <c r="G138" s="79"/>
      <c r="H138" s="79"/>
      <c r="I138" s="79"/>
      <c r="J138" s="79"/>
      <c r="K138" s="79"/>
      <c r="L138" s="79"/>
      <c r="M138" s="79"/>
      <c r="N138" s="79"/>
      <c r="O138" s="79"/>
      <c r="P138" s="79"/>
      <c r="Q138" s="79"/>
      <c r="R138" s="79"/>
      <c r="S138" s="79"/>
      <c r="T138" s="79"/>
      <c r="U138" s="79"/>
      <c r="V138" s="79"/>
      <c r="W138" s="79"/>
      <c r="X138" s="79"/>
      <c r="Y138" s="79"/>
      <c r="Z138" s="79"/>
      <c r="AA138" s="79"/>
      <c r="AB138" s="79"/>
      <c r="AC138" s="79"/>
      <c r="AD138" s="79"/>
      <c r="AE138" s="79"/>
      <c r="AF138" s="79"/>
      <c r="AG138" s="79"/>
      <c r="AH138" s="79"/>
      <c r="AI138" s="79"/>
      <c r="AJ138" s="79"/>
      <c r="AK138" s="79"/>
      <c r="AL138" s="79"/>
      <c r="AM138" s="79"/>
      <c r="AN138" s="79"/>
      <c r="AO138" s="79"/>
      <c r="AP138" s="79"/>
      <c r="AQ138" s="79"/>
      <c r="AR138" s="79"/>
      <c r="AS138" s="79"/>
      <c r="AT138" s="79"/>
      <c r="AU138" s="79"/>
      <c r="AV138" s="79"/>
      <c r="AW138" s="79"/>
      <c r="AX138" s="79"/>
      <c r="AY138" s="79"/>
      <c r="AZ138" s="79"/>
      <c r="BA138" s="79"/>
      <c r="BB138" s="79"/>
      <c r="BC138" s="79"/>
      <c r="BD138" s="79"/>
    </row>
    <row r="139" spans="1:56">
      <c r="A139" s="79"/>
      <c r="B139" s="79"/>
      <c r="C139" s="79"/>
      <c r="D139" s="79"/>
      <c r="E139" s="79"/>
      <c r="F139" s="79"/>
      <c r="G139" s="79"/>
      <c r="H139" s="79"/>
      <c r="I139" s="79"/>
      <c r="J139" s="79"/>
      <c r="K139" s="79"/>
      <c r="L139" s="79"/>
      <c r="M139" s="79"/>
      <c r="N139" s="79"/>
      <c r="O139" s="79"/>
      <c r="P139" s="79"/>
      <c r="Q139" s="79"/>
      <c r="R139" s="79"/>
      <c r="S139" s="79"/>
      <c r="T139" s="79"/>
      <c r="U139" s="79"/>
      <c r="V139" s="79"/>
      <c r="W139" s="79"/>
      <c r="X139" s="79"/>
      <c r="Y139" s="79"/>
      <c r="Z139" s="79"/>
      <c r="AA139" s="79"/>
      <c r="AB139" s="79"/>
      <c r="AC139" s="79"/>
      <c r="AD139" s="79"/>
      <c r="AE139" s="79"/>
      <c r="AF139" s="79"/>
      <c r="AG139" s="79"/>
      <c r="AH139" s="79"/>
      <c r="AI139" s="79"/>
      <c r="AJ139" s="79"/>
      <c r="AK139" s="79"/>
      <c r="AL139" s="79"/>
      <c r="AM139" s="79"/>
      <c r="AN139" s="79"/>
      <c r="AO139" s="79"/>
      <c r="AP139" s="79"/>
      <c r="AQ139" s="79"/>
      <c r="AR139" s="79"/>
      <c r="AS139" s="79"/>
      <c r="AT139" s="79"/>
      <c r="AU139" s="79"/>
      <c r="AV139" s="79"/>
      <c r="AW139" s="79"/>
      <c r="AX139" s="79"/>
      <c r="AY139" s="79"/>
      <c r="AZ139" s="79"/>
      <c r="BA139" s="79"/>
      <c r="BB139" s="79"/>
      <c r="BC139" s="79"/>
      <c r="BD139" s="79"/>
    </row>
    <row r="140" spans="1:56">
      <c r="A140" s="79"/>
      <c r="B140" s="79"/>
      <c r="C140" s="79"/>
      <c r="D140" s="79"/>
      <c r="E140" s="79"/>
      <c r="F140" s="79"/>
      <c r="G140" s="79"/>
      <c r="H140" s="79"/>
      <c r="I140" s="79"/>
      <c r="J140" s="79"/>
      <c r="K140" s="79"/>
      <c r="L140" s="79"/>
      <c r="M140" s="79"/>
      <c r="N140" s="79"/>
      <c r="O140" s="79"/>
      <c r="P140" s="79"/>
      <c r="Q140" s="79"/>
      <c r="R140" s="79"/>
      <c r="S140" s="79"/>
      <c r="T140" s="79"/>
      <c r="U140" s="79"/>
      <c r="V140" s="79"/>
      <c r="W140" s="79"/>
      <c r="X140" s="79"/>
      <c r="Y140" s="79"/>
      <c r="Z140" s="79"/>
      <c r="AA140" s="79"/>
      <c r="AB140" s="79"/>
      <c r="AC140" s="79"/>
      <c r="AD140" s="79"/>
      <c r="AE140" s="79"/>
      <c r="AF140" s="79"/>
      <c r="AG140" s="79"/>
      <c r="AH140" s="79"/>
      <c r="AI140" s="79"/>
      <c r="AJ140" s="79"/>
      <c r="AK140" s="79"/>
      <c r="AL140" s="79"/>
      <c r="AM140" s="79"/>
      <c r="AN140" s="79"/>
      <c r="AO140" s="79"/>
      <c r="AP140" s="79"/>
      <c r="AQ140" s="79"/>
      <c r="AR140" s="79"/>
      <c r="AS140" s="79"/>
      <c r="AT140" s="79"/>
      <c r="AU140" s="79"/>
      <c r="AV140" s="79"/>
      <c r="AW140" s="79"/>
      <c r="AX140" s="79"/>
      <c r="AY140" s="79"/>
      <c r="AZ140" s="79"/>
      <c r="BA140" s="79"/>
      <c r="BB140" s="79"/>
      <c r="BC140" s="79"/>
      <c r="BD140" s="79"/>
    </row>
    <row r="141" spans="1:56">
      <c r="A141" s="79"/>
      <c r="B141" s="79"/>
      <c r="C141" s="79"/>
      <c r="D141" s="79"/>
      <c r="E141" s="79"/>
      <c r="F141" s="79"/>
      <c r="G141" s="79"/>
      <c r="H141" s="79"/>
      <c r="I141" s="79"/>
      <c r="J141" s="79"/>
      <c r="K141" s="79"/>
      <c r="L141" s="79"/>
      <c r="M141" s="79"/>
      <c r="N141" s="79"/>
      <c r="O141" s="79"/>
      <c r="P141" s="79"/>
      <c r="Q141" s="79"/>
      <c r="R141" s="79"/>
      <c r="S141" s="79"/>
      <c r="T141" s="79"/>
      <c r="U141" s="79"/>
      <c r="V141" s="79"/>
      <c r="W141" s="79"/>
      <c r="X141" s="79"/>
      <c r="Y141" s="79"/>
      <c r="Z141" s="79"/>
      <c r="AA141" s="79"/>
      <c r="AB141" s="79"/>
      <c r="AC141" s="79"/>
      <c r="AD141" s="79"/>
      <c r="AE141" s="79"/>
      <c r="AF141" s="79"/>
      <c r="AG141" s="79"/>
      <c r="AH141" s="79"/>
      <c r="AI141" s="79"/>
      <c r="AJ141" s="79"/>
      <c r="AK141" s="79"/>
      <c r="AL141" s="79"/>
      <c r="AM141" s="79"/>
      <c r="AN141" s="79"/>
      <c r="AO141" s="79"/>
      <c r="AP141" s="79"/>
      <c r="AQ141" s="79"/>
      <c r="AR141" s="79"/>
      <c r="AS141" s="79"/>
      <c r="AT141" s="79"/>
      <c r="AU141" s="79"/>
      <c r="AV141" s="79"/>
      <c r="AW141" s="79"/>
      <c r="AX141" s="79"/>
      <c r="AY141" s="79"/>
      <c r="AZ141" s="79"/>
      <c r="BA141" s="79"/>
      <c r="BB141" s="79"/>
      <c r="BC141" s="79"/>
      <c r="BD141" s="79"/>
    </row>
    <row r="142" spans="1:56">
      <c r="A142" s="79"/>
      <c r="B142" s="79"/>
      <c r="C142" s="79"/>
      <c r="D142" s="79"/>
      <c r="E142" s="79"/>
      <c r="F142" s="79"/>
      <c r="G142" s="79"/>
      <c r="H142" s="79"/>
      <c r="I142" s="79"/>
      <c r="J142" s="79"/>
      <c r="K142" s="79"/>
      <c r="L142" s="79"/>
      <c r="M142" s="79"/>
      <c r="N142" s="79"/>
      <c r="O142" s="79"/>
      <c r="P142" s="79"/>
      <c r="Q142" s="79"/>
      <c r="R142" s="79"/>
      <c r="S142" s="79"/>
      <c r="T142" s="79"/>
      <c r="U142" s="79"/>
      <c r="V142" s="79"/>
      <c r="W142" s="79"/>
      <c r="X142" s="79"/>
      <c r="Y142" s="79"/>
      <c r="Z142" s="79"/>
      <c r="AA142" s="79"/>
      <c r="AB142" s="79"/>
      <c r="AC142" s="79"/>
      <c r="AD142" s="79"/>
      <c r="AE142" s="79"/>
      <c r="AF142" s="79"/>
      <c r="AG142" s="79"/>
      <c r="AH142" s="79"/>
      <c r="AI142" s="79"/>
      <c r="AJ142" s="79"/>
      <c r="AK142" s="79"/>
      <c r="AL142" s="79"/>
      <c r="AM142" s="79"/>
      <c r="AN142" s="79"/>
      <c r="AO142" s="79"/>
      <c r="AP142" s="79"/>
      <c r="AQ142" s="79"/>
      <c r="AR142" s="79"/>
      <c r="AS142" s="79"/>
      <c r="AT142" s="79"/>
      <c r="AU142" s="79"/>
      <c r="AV142" s="79"/>
      <c r="AW142" s="79"/>
      <c r="AX142" s="79"/>
      <c r="AY142" s="79"/>
      <c r="AZ142" s="79"/>
      <c r="BA142" s="79"/>
      <c r="BB142" s="79"/>
      <c r="BC142" s="79"/>
      <c r="BD142" s="79"/>
    </row>
    <row r="143" spans="1:56">
      <c r="A143" s="79"/>
      <c r="B143" s="79"/>
      <c r="C143" s="79"/>
      <c r="D143" s="79"/>
      <c r="E143" s="79"/>
      <c r="F143" s="79"/>
      <c r="G143" s="79"/>
      <c r="H143" s="79"/>
      <c r="I143" s="79"/>
      <c r="J143" s="79"/>
      <c r="K143" s="79"/>
      <c r="L143" s="79"/>
      <c r="M143" s="79"/>
      <c r="N143" s="79"/>
      <c r="O143" s="79"/>
      <c r="P143" s="79"/>
      <c r="Q143" s="79"/>
      <c r="R143" s="79"/>
      <c r="S143" s="79"/>
      <c r="T143" s="79"/>
      <c r="U143" s="79"/>
      <c r="V143" s="79"/>
      <c r="W143" s="79"/>
      <c r="X143" s="79"/>
      <c r="Y143" s="79"/>
      <c r="Z143" s="79"/>
      <c r="AA143" s="79"/>
      <c r="AB143" s="79"/>
      <c r="AC143" s="79"/>
      <c r="AD143" s="79"/>
      <c r="AE143" s="79"/>
      <c r="AF143" s="79"/>
      <c r="AG143" s="79"/>
      <c r="AH143" s="79"/>
      <c r="AI143" s="79"/>
      <c r="AJ143" s="79"/>
      <c r="AK143" s="79"/>
      <c r="AL143" s="79"/>
      <c r="AM143" s="79"/>
      <c r="AN143" s="79"/>
      <c r="AO143" s="79"/>
      <c r="AP143" s="79"/>
      <c r="AQ143" s="79"/>
      <c r="AR143" s="79"/>
      <c r="AS143" s="79"/>
      <c r="AT143" s="79"/>
      <c r="AU143" s="79"/>
      <c r="AV143" s="79"/>
      <c r="AW143" s="79"/>
      <c r="AX143" s="79"/>
      <c r="AY143" s="79"/>
      <c r="AZ143" s="79"/>
      <c r="BA143" s="79"/>
      <c r="BB143" s="79"/>
      <c r="BC143" s="79"/>
      <c r="BD143" s="79"/>
    </row>
    <row r="144" spans="1:56">
      <c r="A144" s="79"/>
      <c r="B144" s="79"/>
      <c r="C144" s="79"/>
      <c r="D144" s="79"/>
      <c r="E144" s="79"/>
      <c r="F144" s="79"/>
      <c r="G144" s="79"/>
      <c r="H144" s="79"/>
      <c r="I144" s="79"/>
      <c r="J144" s="79"/>
      <c r="K144" s="79"/>
      <c r="L144" s="79"/>
      <c r="M144" s="79"/>
      <c r="N144" s="79"/>
      <c r="O144" s="79"/>
      <c r="P144" s="79"/>
      <c r="Q144" s="79"/>
      <c r="R144" s="79"/>
      <c r="S144" s="79"/>
      <c r="T144" s="79"/>
      <c r="U144" s="79"/>
      <c r="V144" s="79"/>
      <c r="W144" s="79"/>
      <c r="X144" s="79"/>
      <c r="Y144" s="79"/>
      <c r="Z144" s="79"/>
      <c r="AA144" s="79"/>
      <c r="AB144" s="79"/>
      <c r="AC144" s="79"/>
      <c r="AD144" s="79"/>
      <c r="AE144" s="79"/>
      <c r="AF144" s="79"/>
      <c r="AG144" s="79"/>
      <c r="AH144" s="79"/>
      <c r="AI144" s="79"/>
      <c r="AJ144" s="79"/>
      <c r="AK144" s="79"/>
      <c r="AL144" s="79"/>
      <c r="AM144" s="79"/>
      <c r="AN144" s="79"/>
      <c r="AO144" s="79"/>
      <c r="AP144" s="79"/>
      <c r="AQ144" s="79"/>
      <c r="AR144" s="79"/>
      <c r="AS144" s="79"/>
      <c r="AT144" s="79"/>
      <c r="AU144" s="79"/>
      <c r="AV144" s="79"/>
      <c r="AW144" s="79"/>
      <c r="AX144" s="79"/>
      <c r="AY144" s="79"/>
      <c r="AZ144" s="79"/>
      <c r="BA144" s="79"/>
      <c r="BB144" s="79"/>
      <c r="BC144" s="79"/>
      <c r="BD144" s="79"/>
    </row>
    <row r="145" spans="1:56">
      <c r="A145" s="79"/>
      <c r="B145" s="79"/>
      <c r="C145" s="79"/>
      <c r="D145" s="79"/>
      <c r="E145" s="79"/>
      <c r="F145" s="79"/>
      <c r="G145" s="79"/>
      <c r="H145" s="79"/>
      <c r="I145" s="79"/>
      <c r="J145" s="79"/>
      <c r="K145" s="79"/>
      <c r="L145" s="79"/>
      <c r="M145" s="79"/>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c r="AP145" s="79"/>
      <c r="AQ145" s="79"/>
      <c r="AR145" s="79"/>
      <c r="AS145" s="79"/>
      <c r="AT145" s="79"/>
      <c r="AU145" s="79"/>
      <c r="AV145" s="79"/>
      <c r="AW145" s="79"/>
      <c r="AX145" s="79"/>
      <c r="AY145" s="79"/>
      <c r="AZ145" s="79"/>
      <c r="BA145" s="79"/>
      <c r="BB145" s="79"/>
      <c r="BC145" s="79"/>
      <c r="BD145" s="79"/>
    </row>
    <row r="146" spans="1:56">
      <c r="A146" s="79"/>
      <c r="B146" s="79"/>
      <c r="C146" s="79"/>
      <c r="D146" s="79"/>
      <c r="E146" s="79"/>
      <c r="F146" s="79"/>
      <c r="G146" s="79"/>
      <c r="H146" s="79"/>
      <c r="I146" s="79"/>
      <c r="J146" s="79"/>
      <c r="K146" s="79"/>
      <c r="L146" s="79"/>
      <c r="M146" s="79"/>
      <c r="N146" s="79"/>
      <c r="O146" s="79"/>
      <c r="P146" s="79"/>
      <c r="Q146" s="79"/>
      <c r="R146" s="79"/>
      <c r="S146" s="79"/>
      <c r="T146" s="79"/>
      <c r="U146" s="79"/>
      <c r="V146" s="79"/>
      <c r="W146" s="79"/>
      <c r="X146" s="79"/>
      <c r="Y146" s="79"/>
      <c r="Z146" s="79"/>
      <c r="AA146" s="79"/>
      <c r="AB146" s="79"/>
      <c r="AC146" s="79"/>
      <c r="AD146" s="79"/>
      <c r="AE146" s="79"/>
      <c r="AF146" s="79"/>
      <c r="AG146" s="79"/>
      <c r="AH146" s="79"/>
      <c r="AI146" s="79"/>
      <c r="AJ146" s="79"/>
      <c r="AK146" s="79"/>
      <c r="AL146" s="79"/>
      <c r="AM146" s="79"/>
      <c r="AN146" s="79"/>
      <c r="AO146" s="79"/>
      <c r="AP146" s="79"/>
      <c r="AQ146" s="79"/>
      <c r="AR146" s="79"/>
      <c r="AS146" s="79"/>
      <c r="AT146" s="79"/>
      <c r="AU146" s="79"/>
      <c r="AV146" s="79"/>
      <c r="AW146" s="79"/>
      <c r="AX146" s="79"/>
      <c r="AY146" s="79"/>
      <c r="AZ146" s="79"/>
      <c r="BA146" s="79"/>
      <c r="BB146" s="79"/>
      <c r="BC146" s="79"/>
      <c r="BD146" s="79"/>
    </row>
    <row r="147" spans="1:56">
      <c r="A147" s="79"/>
      <c r="B147" s="79"/>
      <c r="C147" s="79"/>
      <c r="D147" s="79"/>
      <c r="E147" s="79"/>
      <c r="F147" s="79"/>
      <c r="G147" s="79"/>
      <c r="H147" s="79"/>
      <c r="I147" s="79"/>
      <c r="J147" s="79"/>
      <c r="K147" s="79"/>
      <c r="L147" s="79"/>
      <c r="M147" s="79"/>
      <c r="N147" s="79"/>
      <c r="O147" s="79"/>
      <c r="P147" s="79"/>
      <c r="Q147" s="79"/>
      <c r="R147" s="79"/>
      <c r="S147" s="79"/>
      <c r="T147" s="79"/>
      <c r="U147" s="79"/>
      <c r="V147" s="79"/>
      <c r="W147" s="79"/>
      <c r="X147" s="79"/>
      <c r="Y147" s="79"/>
      <c r="Z147" s="79"/>
      <c r="AA147" s="79"/>
      <c r="AB147" s="79"/>
      <c r="AC147" s="79"/>
      <c r="AD147" s="79"/>
      <c r="AE147" s="79"/>
      <c r="AF147" s="79"/>
      <c r="AG147" s="79"/>
      <c r="AH147" s="79"/>
      <c r="AI147" s="79"/>
      <c r="AJ147" s="79"/>
      <c r="AK147" s="79"/>
      <c r="AL147" s="79"/>
      <c r="AM147" s="79"/>
      <c r="AN147" s="79"/>
      <c r="AO147" s="79"/>
      <c r="AP147" s="79"/>
      <c r="AQ147" s="79"/>
      <c r="AR147" s="79"/>
      <c r="AS147" s="79"/>
      <c r="AT147" s="79"/>
      <c r="AU147" s="79"/>
      <c r="AV147" s="79"/>
      <c r="AW147" s="79"/>
      <c r="AX147" s="79"/>
      <c r="AY147" s="79"/>
      <c r="AZ147" s="79"/>
      <c r="BA147" s="79"/>
      <c r="BB147" s="79"/>
      <c r="BC147" s="79"/>
      <c r="BD147" s="79"/>
    </row>
    <row r="148" spans="1:56">
      <c r="A148" s="79"/>
      <c r="B148" s="79"/>
      <c r="C148" s="79"/>
      <c r="D148" s="79"/>
      <c r="E148" s="79"/>
      <c r="F148" s="79"/>
      <c r="G148" s="79"/>
      <c r="H148" s="79"/>
      <c r="I148" s="79"/>
      <c r="J148" s="79"/>
      <c r="K148" s="79"/>
      <c r="L148" s="79"/>
      <c r="M148" s="79"/>
      <c r="N148" s="79"/>
      <c r="O148" s="79"/>
      <c r="P148" s="79"/>
      <c r="Q148" s="79"/>
      <c r="R148" s="79"/>
      <c r="S148" s="79"/>
      <c r="T148" s="79"/>
      <c r="U148" s="79"/>
      <c r="V148" s="79"/>
      <c r="W148" s="79"/>
      <c r="X148" s="79"/>
      <c r="Y148" s="79"/>
      <c r="Z148" s="79"/>
      <c r="AA148" s="79"/>
      <c r="AB148" s="79"/>
      <c r="AC148" s="79"/>
      <c r="AD148" s="79"/>
      <c r="AE148" s="79"/>
      <c r="AF148" s="79"/>
      <c r="AG148" s="79"/>
      <c r="AH148" s="79"/>
      <c r="AI148" s="79"/>
      <c r="AJ148" s="79"/>
      <c r="AK148" s="79"/>
      <c r="AL148" s="79"/>
      <c r="AM148" s="79"/>
      <c r="AN148" s="79"/>
      <c r="AO148" s="79"/>
      <c r="AP148" s="79"/>
      <c r="AQ148" s="79"/>
      <c r="AR148" s="79"/>
      <c r="AS148" s="79"/>
      <c r="AT148" s="79"/>
      <c r="AU148" s="79"/>
      <c r="AV148" s="79"/>
      <c r="AW148" s="79"/>
      <c r="AX148" s="79"/>
      <c r="AY148" s="79"/>
      <c r="AZ148" s="79"/>
      <c r="BA148" s="79"/>
      <c r="BB148" s="79"/>
      <c r="BC148" s="79"/>
      <c r="BD148" s="79"/>
    </row>
    <row r="149" spans="1:56">
      <c r="A149" s="79"/>
      <c r="B149" s="79"/>
      <c r="C149" s="79"/>
      <c r="D149" s="79"/>
      <c r="E149" s="79"/>
      <c r="F149" s="79"/>
      <c r="G149" s="79"/>
      <c r="H149" s="79"/>
      <c r="I149" s="79"/>
      <c r="J149" s="79"/>
      <c r="K149" s="79"/>
      <c r="L149" s="79"/>
      <c r="M149" s="79"/>
      <c r="N149" s="79"/>
      <c r="O149" s="79"/>
      <c r="P149" s="79"/>
      <c r="Q149" s="79"/>
      <c r="R149" s="79"/>
      <c r="S149" s="79"/>
      <c r="T149" s="79"/>
      <c r="U149" s="79"/>
      <c r="V149" s="79"/>
      <c r="W149" s="79"/>
      <c r="X149" s="79"/>
      <c r="Y149" s="79"/>
      <c r="Z149" s="79"/>
      <c r="AA149" s="79"/>
      <c r="AB149" s="79"/>
      <c r="AC149" s="79"/>
      <c r="AD149" s="79"/>
      <c r="AE149" s="79"/>
      <c r="AF149" s="79"/>
      <c r="AG149" s="79"/>
      <c r="AH149" s="79"/>
      <c r="AI149" s="79"/>
      <c r="AJ149" s="79"/>
      <c r="AK149" s="79"/>
      <c r="AL149" s="79"/>
      <c r="AM149" s="79"/>
      <c r="AN149" s="79"/>
      <c r="AO149" s="79"/>
      <c r="AP149" s="79"/>
      <c r="AQ149" s="79"/>
      <c r="AR149" s="79"/>
      <c r="AS149" s="79"/>
      <c r="AT149" s="79"/>
      <c r="AU149" s="79"/>
      <c r="AV149" s="79"/>
      <c r="AW149" s="79"/>
      <c r="AX149" s="79"/>
      <c r="AY149" s="79"/>
      <c r="AZ149" s="79"/>
      <c r="BA149" s="79"/>
      <c r="BB149" s="79"/>
      <c r="BC149" s="79"/>
      <c r="BD149" s="79"/>
    </row>
    <row r="150" spans="1:56">
      <c r="A150" s="79"/>
      <c r="B150" s="79"/>
      <c r="C150" s="79"/>
      <c r="D150" s="79"/>
      <c r="E150" s="79"/>
      <c r="F150" s="79"/>
      <c r="G150" s="79"/>
      <c r="H150" s="79"/>
      <c r="I150" s="79"/>
      <c r="J150" s="79"/>
      <c r="K150" s="79"/>
      <c r="L150" s="79"/>
      <c r="M150" s="79"/>
      <c r="N150" s="79"/>
      <c r="O150" s="79"/>
      <c r="P150" s="79"/>
      <c r="Q150" s="79"/>
      <c r="R150" s="79"/>
      <c r="S150" s="79"/>
      <c r="T150" s="79"/>
      <c r="U150" s="79"/>
      <c r="V150" s="79"/>
      <c r="W150" s="79"/>
      <c r="X150" s="79"/>
      <c r="Y150" s="79"/>
      <c r="Z150" s="79"/>
      <c r="AA150" s="79"/>
      <c r="AB150" s="79"/>
      <c r="AC150" s="79"/>
      <c r="AD150" s="79"/>
      <c r="AE150" s="79"/>
      <c r="AF150" s="79"/>
      <c r="AG150" s="79"/>
      <c r="AH150" s="79"/>
      <c r="AI150" s="79"/>
      <c r="AJ150" s="79"/>
      <c r="AK150" s="79"/>
      <c r="AL150" s="79"/>
      <c r="AM150" s="79"/>
      <c r="AN150" s="79"/>
      <c r="AO150" s="79"/>
      <c r="AP150" s="79"/>
      <c r="AQ150" s="79"/>
      <c r="AR150" s="79"/>
      <c r="AS150" s="79"/>
      <c r="AT150" s="79"/>
      <c r="AU150" s="79"/>
      <c r="AV150" s="79"/>
      <c r="AW150" s="79"/>
      <c r="AX150" s="79"/>
      <c r="AY150" s="79"/>
      <c r="AZ150" s="79"/>
      <c r="BA150" s="79"/>
      <c r="BB150" s="79"/>
      <c r="BC150" s="79"/>
      <c r="BD150" s="79"/>
    </row>
    <row r="151" spans="1:56">
      <c r="A151" s="79"/>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c r="AP151" s="79"/>
      <c r="AQ151" s="79"/>
      <c r="AR151" s="79"/>
      <c r="AS151" s="79"/>
      <c r="AT151" s="79"/>
      <c r="AU151" s="79"/>
      <c r="AV151" s="79"/>
      <c r="AW151" s="79"/>
      <c r="AX151" s="79"/>
      <c r="AY151" s="79"/>
      <c r="AZ151" s="79"/>
      <c r="BA151" s="79"/>
      <c r="BB151" s="79"/>
      <c r="BC151" s="79"/>
      <c r="BD151" s="79"/>
    </row>
    <row r="152" spans="1:56">
      <c r="A152" s="79"/>
      <c r="B152" s="79"/>
      <c r="C152" s="79"/>
      <c r="D152" s="79"/>
      <c r="E152" s="79"/>
      <c r="F152" s="79"/>
      <c r="G152" s="79"/>
      <c r="H152" s="79"/>
      <c r="I152" s="79"/>
      <c r="J152" s="79"/>
      <c r="K152" s="79"/>
      <c r="L152" s="79"/>
      <c r="M152" s="79"/>
      <c r="N152" s="79"/>
      <c r="O152" s="79"/>
      <c r="P152" s="79"/>
      <c r="Q152" s="79"/>
      <c r="R152" s="79"/>
      <c r="S152" s="79"/>
      <c r="T152" s="79"/>
      <c r="U152" s="79"/>
      <c r="V152" s="79"/>
      <c r="W152" s="79"/>
      <c r="X152" s="79"/>
      <c r="Y152" s="79"/>
      <c r="Z152" s="79"/>
      <c r="AA152" s="79"/>
      <c r="AB152" s="79"/>
      <c r="AC152" s="79"/>
      <c r="AD152" s="79"/>
      <c r="AE152" s="79"/>
      <c r="AF152" s="79"/>
      <c r="AG152" s="79"/>
      <c r="AH152" s="79"/>
      <c r="AI152" s="79"/>
      <c r="AJ152" s="79"/>
      <c r="AK152" s="79"/>
      <c r="AL152" s="79"/>
      <c r="AM152" s="79"/>
      <c r="AN152" s="79"/>
      <c r="AO152" s="79"/>
      <c r="AP152" s="79"/>
      <c r="AQ152" s="79"/>
      <c r="AR152" s="79"/>
      <c r="AS152" s="79"/>
      <c r="AT152" s="79"/>
      <c r="AU152" s="79"/>
      <c r="AV152" s="79"/>
      <c r="AW152" s="79"/>
      <c r="AX152" s="79"/>
      <c r="AY152" s="79"/>
      <c r="AZ152" s="79"/>
      <c r="BA152" s="79"/>
      <c r="BB152" s="79"/>
      <c r="BC152" s="79"/>
      <c r="BD152" s="79"/>
    </row>
    <row r="153" spans="1:56">
      <c r="A153" s="79"/>
      <c r="B153" s="79"/>
      <c r="C153" s="79"/>
      <c r="D153" s="79"/>
      <c r="E153" s="79"/>
      <c r="F153" s="79"/>
      <c r="G153" s="79"/>
      <c r="H153" s="79"/>
      <c r="I153" s="79"/>
      <c r="J153" s="79"/>
      <c r="K153" s="79"/>
      <c r="L153" s="79"/>
      <c r="M153" s="79"/>
      <c r="N153" s="79"/>
      <c r="O153" s="79"/>
      <c r="P153" s="79"/>
      <c r="Q153" s="79"/>
      <c r="R153" s="79"/>
      <c r="S153" s="79"/>
      <c r="T153" s="79"/>
      <c r="U153" s="79"/>
      <c r="V153" s="79"/>
      <c r="W153" s="79"/>
      <c r="X153" s="79"/>
      <c r="Y153" s="79"/>
      <c r="Z153" s="79"/>
      <c r="AA153" s="79"/>
      <c r="AB153" s="79"/>
      <c r="AC153" s="79"/>
      <c r="AD153" s="79"/>
      <c r="AE153" s="79"/>
      <c r="AF153" s="79"/>
      <c r="AG153" s="79"/>
      <c r="AH153" s="79"/>
      <c r="AI153" s="79"/>
      <c r="AJ153" s="79"/>
      <c r="AK153" s="79"/>
      <c r="AL153" s="79"/>
      <c r="AM153" s="79"/>
      <c r="AN153" s="79"/>
      <c r="AO153" s="79"/>
      <c r="AP153" s="79"/>
      <c r="AQ153" s="79"/>
      <c r="AR153" s="79"/>
      <c r="AS153" s="79"/>
      <c r="AT153" s="79"/>
      <c r="AU153" s="79"/>
      <c r="AV153" s="79"/>
      <c r="AW153" s="79"/>
      <c r="AX153" s="79"/>
      <c r="AY153" s="79"/>
      <c r="AZ153" s="79"/>
      <c r="BA153" s="79"/>
      <c r="BB153" s="79"/>
      <c r="BC153" s="79"/>
      <c r="BD153" s="79"/>
    </row>
    <row r="154" spans="1:56">
      <c r="A154" s="79"/>
      <c r="B154" s="79"/>
      <c r="C154" s="79"/>
      <c r="D154" s="79"/>
      <c r="E154" s="79"/>
      <c r="F154" s="79"/>
      <c r="G154" s="79"/>
      <c r="H154" s="79"/>
      <c r="I154" s="79"/>
      <c r="J154" s="79"/>
      <c r="K154" s="79"/>
      <c r="L154" s="79"/>
      <c r="M154" s="79"/>
      <c r="N154" s="79"/>
      <c r="O154" s="79"/>
      <c r="P154" s="79"/>
      <c r="Q154" s="79"/>
      <c r="R154" s="79"/>
      <c r="S154" s="79"/>
      <c r="T154" s="79"/>
      <c r="U154" s="79"/>
      <c r="V154" s="79"/>
      <c r="W154" s="79"/>
      <c r="X154" s="79"/>
      <c r="Y154" s="79"/>
      <c r="Z154" s="79"/>
      <c r="AA154" s="79"/>
      <c r="AB154" s="79"/>
      <c r="AC154" s="79"/>
      <c r="AD154" s="79"/>
      <c r="AE154" s="79"/>
      <c r="AF154" s="79"/>
      <c r="AG154" s="79"/>
      <c r="AH154" s="79"/>
      <c r="AI154" s="79"/>
      <c r="AJ154" s="79"/>
      <c r="AK154" s="79"/>
      <c r="AL154" s="79"/>
      <c r="AM154" s="79"/>
      <c r="AN154" s="79"/>
      <c r="AO154" s="79"/>
      <c r="AP154" s="79"/>
      <c r="AQ154" s="79"/>
      <c r="AR154" s="79"/>
      <c r="AS154" s="79"/>
      <c r="AT154" s="79"/>
      <c r="AU154" s="79"/>
      <c r="AV154" s="79"/>
      <c r="AW154" s="79"/>
      <c r="AX154" s="79"/>
      <c r="AY154" s="79"/>
      <c r="AZ154" s="79"/>
      <c r="BA154" s="79"/>
      <c r="BB154" s="79"/>
      <c r="BC154" s="79"/>
      <c r="BD154" s="79"/>
    </row>
    <row r="155" spans="1:56">
      <c r="A155" s="79"/>
      <c r="B155" s="79"/>
      <c r="C155" s="79"/>
      <c r="D155" s="79"/>
      <c r="E155" s="79"/>
      <c r="F155" s="79"/>
      <c r="G155" s="79"/>
      <c r="H155" s="79"/>
      <c r="I155" s="79"/>
      <c r="J155" s="79"/>
      <c r="K155" s="79"/>
      <c r="L155" s="79"/>
      <c r="M155" s="79"/>
      <c r="N155" s="79"/>
      <c r="O155" s="79"/>
      <c r="P155" s="79"/>
      <c r="Q155" s="79"/>
      <c r="R155" s="79"/>
      <c r="S155" s="79"/>
      <c r="T155" s="79"/>
      <c r="U155" s="79"/>
      <c r="V155" s="79"/>
      <c r="W155" s="79"/>
      <c r="X155" s="79"/>
      <c r="Y155" s="79"/>
      <c r="Z155" s="79"/>
      <c r="AA155" s="79"/>
      <c r="AB155" s="79"/>
      <c r="AC155" s="79"/>
      <c r="AD155" s="79"/>
      <c r="AE155" s="79"/>
      <c r="AF155" s="79"/>
      <c r="AG155" s="79"/>
      <c r="AH155" s="79"/>
      <c r="AI155" s="79"/>
      <c r="AJ155" s="79"/>
      <c r="AK155" s="79"/>
      <c r="AL155" s="79"/>
      <c r="AM155" s="79"/>
      <c r="AN155" s="79"/>
      <c r="AO155" s="79"/>
      <c r="AP155" s="79"/>
      <c r="AQ155" s="79"/>
      <c r="AR155" s="79"/>
      <c r="AS155" s="79"/>
      <c r="AT155" s="79"/>
      <c r="AU155" s="79"/>
      <c r="AV155" s="79"/>
      <c r="AW155" s="79"/>
      <c r="AX155" s="79"/>
      <c r="AY155" s="79"/>
      <c r="AZ155" s="79"/>
      <c r="BA155" s="79"/>
      <c r="BB155" s="79"/>
      <c r="BC155" s="79"/>
      <c r="BD155" s="79"/>
    </row>
    <row r="156" spans="1:56">
      <c r="A156" s="79"/>
      <c r="B156" s="79"/>
      <c r="C156" s="79"/>
      <c r="D156" s="79"/>
      <c r="E156" s="79"/>
      <c r="F156" s="79"/>
      <c r="G156" s="79"/>
      <c r="H156" s="79"/>
      <c r="I156" s="79"/>
      <c r="J156" s="79"/>
      <c r="K156" s="79"/>
      <c r="L156" s="79"/>
      <c r="M156" s="79"/>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c r="AP156" s="79"/>
      <c r="AQ156" s="79"/>
      <c r="AR156" s="79"/>
      <c r="AS156" s="79"/>
      <c r="AT156" s="79"/>
      <c r="AU156" s="79"/>
      <c r="AV156" s="79"/>
      <c r="AW156" s="79"/>
      <c r="AX156" s="79"/>
      <c r="AY156" s="79"/>
      <c r="AZ156" s="79"/>
      <c r="BA156" s="79"/>
      <c r="BB156" s="79"/>
      <c r="BC156" s="79"/>
      <c r="BD156" s="79"/>
    </row>
    <row r="157" spans="1:56">
      <c r="A157" s="79"/>
      <c r="B157" s="79"/>
      <c r="C157" s="79"/>
      <c r="D157" s="79"/>
      <c r="E157" s="79"/>
      <c r="F157" s="79"/>
      <c r="G157" s="79"/>
      <c r="H157" s="79"/>
      <c r="I157" s="79"/>
      <c r="J157" s="79"/>
      <c r="K157" s="79"/>
      <c r="L157" s="79"/>
      <c r="M157" s="79"/>
      <c r="N157" s="79"/>
      <c r="O157" s="79"/>
      <c r="P157" s="79"/>
      <c r="Q157" s="79"/>
      <c r="R157" s="79"/>
      <c r="S157" s="79"/>
      <c r="T157" s="79"/>
      <c r="U157" s="79"/>
      <c r="V157" s="79"/>
      <c r="W157" s="79"/>
      <c r="X157" s="79"/>
      <c r="Y157" s="79"/>
      <c r="Z157" s="79"/>
      <c r="AA157" s="79"/>
      <c r="AB157" s="79"/>
      <c r="AC157" s="79"/>
      <c r="AD157" s="79"/>
      <c r="AE157" s="79"/>
      <c r="AF157" s="79"/>
      <c r="AG157" s="79"/>
      <c r="AH157" s="79"/>
      <c r="AI157" s="79"/>
      <c r="AJ157" s="79"/>
      <c r="AK157" s="79"/>
      <c r="AL157" s="79"/>
      <c r="AM157" s="79"/>
      <c r="AN157" s="79"/>
      <c r="AO157" s="79"/>
      <c r="AP157" s="79"/>
      <c r="AQ157" s="79"/>
      <c r="AR157" s="79"/>
      <c r="AS157" s="79"/>
      <c r="AT157" s="79"/>
      <c r="AU157" s="79"/>
      <c r="AV157" s="79"/>
      <c r="AW157" s="79"/>
      <c r="AX157" s="79"/>
      <c r="AY157" s="79"/>
      <c r="AZ157" s="79"/>
      <c r="BA157" s="79"/>
      <c r="BB157" s="79"/>
      <c r="BC157" s="79"/>
      <c r="BD157" s="79"/>
    </row>
    <row r="158" spans="1:56">
      <c r="A158" s="79"/>
      <c r="B158" s="79"/>
      <c r="C158" s="79"/>
      <c r="D158" s="79"/>
      <c r="E158" s="79"/>
      <c r="F158" s="79"/>
      <c r="G158" s="79"/>
      <c r="H158" s="79"/>
      <c r="I158" s="79"/>
      <c r="J158" s="79"/>
      <c r="K158" s="79"/>
      <c r="L158" s="79"/>
      <c r="M158" s="79"/>
      <c r="N158" s="79"/>
      <c r="O158" s="79"/>
      <c r="P158" s="79"/>
      <c r="Q158" s="79"/>
      <c r="R158" s="79"/>
      <c r="S158" s="79"/>
      <c r="T158" s="79"/>
      <c r="U158" s="79"/>
      <c r="V158" s="79"/>
      <c r="W158" s="79"/>
      <c r="X158" s="79"/>
      <c r="Y158" s="79"/>
      <c r="Z158" s="79"/>
      <c r="AA158" s="79"/>
      <c r="AB158" s="79"/>
      <c r="AC158" s="79"/>
      <c r="AD158" s="79"/>
      <c r="AE158" s="79"/>
      <c r="AF158" s="79"/>
      <c r="AG158" s="79"/>
      <c r="AH158" s="79"/>
      <c r="AI158" s="79"/>
      <c r="AJ158" s="79"/>
      <c r="AK158" s="79"/>
      <c r="AL158" s="79"/>
      <c r="AM158" s="79"/>
      <c r="AN158" s="79"/>
      <c r="AO158" s="79"/>
      <c r="AP158" s="79"/>
      <c r="AQ158" s="79"/>
      <c r="AR158" s="79"/>
      <c r="AS158" s="79"/>
      <c r="AT158" s="79"/>
      <c r="AU158" s="79"/>
      <c r="AV158" s="79"/>
      <c r="AW158" s="79"/>
      <c r="AX158" s="79"/>
      <c r="AY158" s="79"/>
      <c r="AZ158" s="79"/>
      <c r="BA158" s="79"/>
      <c r="BB158" s="79"/>
      <c r="BC158" s="79"/>
      <c r="BD158" s="79"/>
    </row>
    <row r="159" spans="1:56">
      <c r="A159" s="79"/>
      <c r="B159" s="79"/>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79"/>
      <c r="AS159" s="79"/>
      <c r="AT159" s="79"/>
      <c r="AU159" s="79"/>
      <c r="AV159" s="79"/>
      <c r="AW159" s="79"/>
      <c r="AX159" s="79"/>
      <c r="AY159" s="79"/>
      <c r="AZ159" s="79"/>
      <c r="BA159" s="79"/>
      <c r="BB159" s="79"/>
      <c r="BC159" s="79"/>
      <c r="BD159" s="79"/>
    </row>
    <row r="160" spans="1:56">
      <c r="A160" s="79"/>
      <c r="B160" s="79"/>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c r="AE160" s="79"/>
      <c r="AF160" s="79"/>
      <c r="AG160" s="79"/>
      <c r="AH160" s="79"/>
      <c r="AI160" s="79"/>
      <c r="AJ160" s="79"/>
      <c r="AK160" s="79"/>
      <c r="AL160" s="79"/>
      <c r="AM160" s="79"/>
      <c r="AN160" s="79"/>
      <c r="AO160" s="79"/>
      <c r="AP160" s="79"/>
      <c r="AQ160" s="79"/>
      <c r="AR160" s="79"/>
      <c r="AS160" s="79"/>
      <c r="AT160" s="79"/>
      <c r="AU160" s="79"/>
      <c r="AV160" s="79"/>
      <c r="AW160" s="79"/>
      <c r="AX160" s="79"/>
      <c r="AY160" s="79"/>
      <c r="AZ160" s="79"/>
      <c r="BA160" s="79"/>
      <c r="BB160" s="79"/>
      <c r="BC160" s="79"/>
      <c r="BD160" s="79"/>
    </row>
    <row r="161" spans="1:56">
      <c r="A161" s="79"/>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c r="AE161" s="79"/>
      <c r="AF161" s="79"/>
      <c r="AG161" s="79"/>
      <c r="AH161" s="79"/>
      <c r="AI161" s="79"/>
      <c r="AJ161" s="79"/>
      <c r="AK161" s="79"/>
      <c r="AL161" s="79"/>
      <c r="AM161" s="79"/>
      <c r="AN161" s="79"/>
      <c r="AO161" s="79"/>
      <c r="AP161" s="79"/>
      <c r="AQ161" s="79"/>
      <c r="AR161" s="79"/>
      <c r="AS161" s="79"/>
      <c r="AT161" s="79"/>
      <c r="AU161" s="79"/>
      <c r="AV161" s="79"/>
      <c r="AW161" s="79"/>
      <c r="AX161" s="79"/>
      <c r="AY161" s="79"/>
      <c r="AZ161" s="79"/>
      <c r="BA161" s="79"/>
      <c r="BB161" s="79"/>
      <c r="BC161" s="79"/>
      <c r="BD161" s="79"/>
    </row>
    <row r="162" spans="1:56">
      <c r="A162" s="79"/>
      <c r="B162" s="79"/>
      <c r="C162" s="79"/>
      <c r="D162" s="79"/>
      <c r="E162" s="79"/>
      <c r="F162" s="79"/>
      <c r="G162" s="79"/>
      <c r="H162" s="79"/>
      <c r="I162" s="79"/>
      <c r="J162" s="79"/>
      <c r="K162" s="79"/>
      <c r="L162" s="79"/>
      <c r="M162" s="79"/>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c r="AP162" s="79"/>
      <c r="AQ162" s="79"/>
      <c r="AR162" s="79"/>
      <c r="AS162" s="79"/>
      <c r="AT162" s="79"/>
      <c r="AU162" s="79"/>
      <c r="AV162" s="79"/>
      <c r="AW162" s="79"/>
      <c r="AX162" s="79"/>
      <c r="AY162" s="79"/>
      <c r="AZ162" s="79"/>
      <c r="BA162" s="79"/>
      <c r="BB162" s="79"/>
      <c r="BC162" s="79"/>
      <c r="BD162" s="79"/>
    </row>
    <row r="163" spans="1:56">
      <c r="A163" s="79"/>
      <c r="B163" s="79"/>
      <c r="C163" s="79"/>
      <c r="D163" s="79"/>
      <c r="E163" s="79"/>
      <c r="F163" s="79"/>
      <c r="G163" s="79"/>
      <c r="H163" s="79"/>
      <c r="I163" s="79"/>
      <c r="J163" s="79"/>
      <c r="K163" s="79"/>
      <c r="L163" s="79"/>
      <c r="M163" s="79"/>
      <c r="N163" s="79"/>
      <c r="O163" s="79"/>
      <c r="P163" s="79"/>
      <c r="Q163" s="79"/>
      <c r="R163" s="79"/>
      <c r="S163" s="79"/>
      <c r="T163" s="79"/>
      <c r="U163" s="79"/>
      <c r="V163" s="79"/>
      <c r="W163" s="79"/>
      <c r="X163" s="79"/>
      <c r="Y163" s="79"/>
      <c r="Z163" s="79"/>
      <c r="AA163" s="79"/>
      <c r="AB163" s="79"/>
      <c r="AC163" s="79"/>
      <c r="AD163" s="79"/>
      <c r="AE163" s="79"/>
      <c r="AF163" s="79"/>
      <c r="AG163" s="79"/>
      <c r="AH163" s="79"/>
      <c r="AI163" s="79"/>
      <c r="AJ163" s="79"/>
      <c r="AK163" s="79"/>
      <c r="AL163" s="79"/>
      <c r="AM163" s="79"/>
      <c r="AN163" s="79"/>
      <c r="AO163" s="79"/>
      <c r="AP163" s="79"/>
      <c r="AQ163" s="79"/>
      <c r="AR163" s="79"/>
      <c r="AS163" s="79"/>
      <c r="AT163" s="79"/>
      <c r="AU163" s="79"/>
      <c r="AV163" s="79"/>
      <c r="AW163" s="79"/>
      <c r="AX163" s="79"/>
      <c r="AY163" s="79"/>
      <c r="AZ163" s="79"/>
      <c r="BA163" s="79"/>
      <c r="BB163" s="79"/>
      <c r="BC163" s="79"/>
      <c r="BD163" s="79"/>
    </row>
    <row r="164" spans="1:56">
      <c r="A164" s="79"/>
      <c r="B164" s="79"/>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79"/>
      <c r="AS164" s="79"/>
      <c r="AT164" s="79"/>
      <c r="AU164" s="79"/>
      <c r="AV164" s="79"/>
      <c r="AW164" s="79"/>
      <c r="AX164" s="79"/>
      <c r="AY164" s="79"/>
      <c r="AZ164" s="79"/>
      <c r="BA164" s="79"/>
      <c r="BB164" s="79"/>
      <c r="BC164" s="79"/>
      <c r="BD164" s="79"/>
    </row>
    <row r="165" spans="1:56">
      <c r="A165" s="79"/>
      <c r="B165" s="79"/>
      <c r="C165" s="79"/>
      <c r="D165" s="79"/>
      <c r="E165" s="79"/>
      <c r="F165" s="79"/>
      <c r="G165" s="79"/>
      <c r="H165" s="79"/>
      <c r="I165" s="79"/>
      <c r="J165" s="79"/>
      <c r="K165" s="79"/>
      <c r="L165" s="79"/>
      <c r="M165" s="79"/>
      <c r="N165" s="79"/>
      <c r="O165" s="79"/>
      <c r="P165" s="79"/>
      <c r="Q165" s="79"/>
      <c r="R165" s="79"/>
      <c r="S165" s="79"/>
      <c r="T165" s="79"/>
      <c r="U165" s="79"/>
      <c r="V165" s="79"/>
      <c r="W165" s="79"/>
      <c r="X165" s="79"/>
      <c r="Y165" s="79"/>
      <c r="Z165" s="79"/>
      <c r="AA165" s="79"/>
      <c r="AB165" s="79"/>
      <c r="AC165" s="79"/>
      <c r="AD165" s="79"/>
      <c r="AE165" s="79"/>
      <c r="AF165" s="79"/>
      <c r="AG165" s="79"/>
      <c r="AH165" s="79"/>
      <c r="AI165" s="79"/>
      <c r="AJ165" s="79"/>
      <c r="AK165" s="79"/>
      <c r="AL165" s="79"/>
      <c r="AM165" s="79"/>
      <c r="AN165" s="79"/>
      <c r="AO165" s="79"/>
      <c r="AP165" s="79"/>
      <c r="AQ165" s="79"/>
      <c r="AR165" s="79"/>
      <c r="AS165" s="79"/>
      <c r="AT165" s="79"/>
      <c r="AU165" s="79"/>
      <c r="AV165" s="79"/>
      <c r="AW165" s="79"/>
      <c r="AX165" s="79"/>
      <c r="AY165" s="79"/>
      <c r="AZ165" s="79"/>
      <c r="BA165" s="79"/>
      <c r="BB165" s="79"/>
      <c r="BC165" s="79"/>
      <c r="BD165" s="79"/>
    </row>
    <row r="166" spans="1:56">
      <c r="A166" s="79"/>
      <c r="B166" s="79"/>
      <c r="C166" s="79"/>
      <c r="D166" s="79"/>
      <c r="E166" s="79"/>
      <c r="F166" s="79"/>
      <c r="G166" s="79"/>
      <c r="H166" s="79"/>
      <c r="I166" s="79"/>
      <c r="J166" s="79"/>
      <c r="K166" s="79"/>
      <c r="L166" s="79"/>
      <c r="M166" s="79"/>
      <c r="N166" s="79"/>
      <c r="O166" s="79"/>
      <c r="P166" s="79"/>
      <c r="Q166" s="79"/>
      <c r="R166" s="79"/>
      <c r="S166" s="79"/>
      <c r="T166" s="79"/>
      <c r="U166" s="79"/>
      <c r="V166" s="79"/>
      <c r="W166" s="79"/>
      <c r="X166" s="79"/>
      <c r="Y166" s="79"/>
      <c r="Z166" s="79"/>
      <c r="AA166" s="79"/>
      <c r="AB166" s="79"/>
      <c r="AC166" s="79"/>
      <c r="AD166" s="79"/>
      <c r="AE166" s="79"/>
      <c r="AF166" s="79"/>
      <c r="AG166" s="79"/>
      <c r="AH166" s="79"/>
      <c r="AI166" s="79"/>
      <c r="AJ166" s="79"/>
      <c r="AK166" s="79"/>
      <c r="AL166" s="79"/>
      <c r="AM166" s="79"/>
      <c r="AN166" s="79"/>
      <c r="AO166" s="79"/>
      <c r="AP166" s="79"/>
      <c r="AQ166" s="79"/>
      <c r="AR166" s="79"/>
      <c r="AS166" s="79"/>
      <c r="AT166" s="79"/>
      <c r="AU166" s="79"/>
      <c r="AV166" s="79"/>
      <c r="AW166" s="79"/>
      <c r="AX166" s="79"/>
      <c r="AY166" s="79"/>
      <c r="AZ166" s="79"/>
      <c r="BA166" s="79"/>
      <c r="BB166" s="79"/>
      <c r="BC166" s="79"/>
      <c r="BD166" s="79"/>
    </row>
    <row r="167" spans="1:56">
      <c r="A167" s="79"/>
      <c r="B167" s="79"/>
      <c r="C167" s="79"/>
      <c r="D167" s="79"/>
      <c r="E167" s="79"/>
      <c r="F167" s="79"/>
      <c r="G167" s="79"/>
      <c r="H167" s="79"/>
      <c r="I167" s="79"/>
      <c r="J167" s="79"/>
      <c r="K167" s="79"/>
      <c r="L167" s="79"/>
      <c r="M167" s="79"/>
      <c r="N167" s="79"/>
      <c r="O167" s="79"/>
      <c r="P167" s="79"/>
      <c r="Q167" s="79"/>
      <c r="R167" s="79"/>
      <c r="S167" s="79"/>
      <c r="T167" s="79"/>
      <c r="U167" s="79"/>
      <c r="V167" s="79"/>
      <c r="W167" s="79"/>
      <c r="X167" s="79"/>
      <c r="Y167" s="79"/>
      <c r="Z167" s="79"/>
      <c r="AA167" s="79"/>
      <c r="AB167" s="79"/>
      <c r="AC167" s="79"/>
      <c r="AD167" s="79"/>
      <c r="AE167" s="79"/>
      <c r="AF167" s="79"/>
      <c r="AG167" s="79"/>
      <c r="AH167" s="79"/>
      <c r="AI167" s="79"/>
      <c r="AJ167" s="79"/>
      <c r="AK167" s="79"/>
      <c r="AL167" s="79"/>
      <c r="AM167" s="79"/>
      <c r="AN167" s="79"/>
      <c r="AO167" s="79"/>
      <c r="AP167" s="79"/>
      <c r="AQ167" s="79"/>
      <c r="AR167" s="79"/>
      <c r="AS167" s="79"/>
      <c r="AT167" s="79"/>
      <c r="AU167" s="79"/>
      <c r="AV167" s="79"/>
      <c r="AW167" s="79"/>
      <c r="AX167" s="79"/>
      <c r="AY167" s="79"/>
      <c r="AZ167" s="79"/>
      <c r="BA167" s="79"/>
      <c r="BB167" s="79"/>
      <c r="BC167" s="79"/>
      <c r="BD167" s="79"/>
    </row>
    <row r="168" spans="1:56">
      <c r="A168" s="79"/>
      <c r="B168" s="79"/>
      <c r="C168" s="79"/>
      <c r="D168" s="79"/>
      <c r="E168" s="79"/>
      <c r="F168" s="79"/>
      <c r="G168" s="79"/>
      <c r="H168" s="79"/>
      <c r="I168" s="79"/>
      <c r="J168" s="79"/>
      <c r="K168" s="79"/>
      <c r="L168" s="79"/>
      <c r="M168" s="79"/>
      <c r="N168" s="79"/>
      <c r="O168" s="79"/>
      <c r="P168" s="79"/>
      <c r="Q168" s="79"/>
      <c r="R168" s="79"/>
      <c r="S168" s="79"/>
      <c r="T168" s="79"/>
      <c r="U168" s="79"/>
      <c r="V168" s="79"/>
      <c r="W168" s="79"/>
      <c r="X168" s="79"/>
      <c r="Y168" s="79"/>
      <c r="Z168" s="79"/>
      <c r="AA168" s="79"/>
      <c r="AB168" s="79"/>
      <c r="AC168" s="79"/>
      <c r="AD168" s="79"/>
      <c r="AE168" s="79"/>
      <c r="AF168" s="79"/>
      <c r="AG168" s="79"/>
      <c r="AH168" s="79"/>
      <c r="AI168" s="79"/>
      <c r="AJ168" s="79"/>
      <c r="AK168" s="79"/>
      <c r="AL168" s="79"/>
      <c r="AM168" s="79"/>
      <c r="AN168" s="79"/>
      <c r="AO168" s="79"/>
      <c r="AP168" s="79"/>
      <c r="AQ168" s="79"/>
      <c r="AR168" s="79"/>
      <c r="AS168" s="79"/>
      <c r="AT168" s="79"/>
      <c r="AU168" s="79"/>
      <c r="AV168" s="79"/>
      <c r="AW168" s="79"/>
      <c r="AX168" s="79"/>
      <c r="AY168" s="79"/>
      <c r="AZ168" s="79"/>
      <c r="BA168" s="79"/>
      <c r="BB168" s="79"/>
      <c r="BC168" s="79"/>
      <c r="BD168" s="79"/>
    </row>
    <row r="169" spans="1:56">
      <c r="A169" s="79"/>
      <c r="B169" s="79"/>
      <c r="C169" s="79"/>
      <c r="D169" s="79"/>
      <c r="E169" s="79"/>
      <c r="F169" s="79"/>
      <c r="G169" s="79"/>
      <c r="H169" s="79"/>
      <c r="I169" s="79"/>
      <c r="J169" s="79"/>
      <c r="K169" s="79"/>
      <c r="L169" s="79"/>
      <c r="M169" s="79"/>
      <c r="N169" s="79"/>
      <c r="O169" s="79"/>
      <c r="P169" s="79"/>
      <c r="Q169" s="79"/>
      <c r="R169" s="79"/>
      <c r="S169" s="79"/>
      <c r="T169" s="79"/>
      <c r="U169" s="79"/>
      <c r="V169" s="79"/>
      <c r="W169" s="79"/>
      <c r="X169" s="79"/>
      <c r="Y169" s="79"/>
      <c r="Z169" s="79"/>
      <c r="AA169" s="79"/>
      <c r="AB169" s="79"/>
      <c r="AC169" s="79"/>
      <c r="AD169" s="79"/>
      <c r="AE169" s="79"/>
      <c r="AF169" s="79"/>
      <c r="AG169" s="79"/>
      <c r="AH169" s="79"/>
      <c r="AI169" s="79"/>
      <c r="AJ169" s="79"/>
      <c r="AK169" s="79"/>
      <c r="AL169" s="79"/>
      <c r="AM169" s="79"/>
      <c r="AN169" s="79"/>
      <c r="AO169" s="79"/>
      <c r="AP169" s="79"/>
      <c r="AQ169" s="79"/>
      <c r="AR169" s="79"/>
      <c r="AS169" s="79"/>
      <c r="AT169" s="79"/>
      <c r="AU169" s="79"/>
      <c r="AV169" s="79"/>
      <c r="AW169" s="79"/>
      <c r="AX169" s="79"/>
      <c r="AY169" s="79"/>
      <c r="AZ169" s="79"/>
      <c r="BA169" s="79"/>
      <c r="BB169" s="79"/>
      <c r="BC169" s="79"/>
      <c r="BD169" s="79"/>
    </row>
    <row r="170" spans="1:56">
      <c r="A170" s="79"/>
      <c r="B170" s="79"/>
      <c r="C170" s="79"/>
      <c r="D170" s="79"/>
      <c r="E170" s="79"/>
      <c r="F170" s="79"/>
      <c r="G170" s="79"/>
      <c r="H170" s="79"/>
      <c r="I170" s="79"/>
      <c r="J170" s="79"/>
      <c r="K170" s="79"/>
      <c r="L170" s="79"/>
      <c r="M170" s="79"/>
      <c r="N170" s="79"/>
      <c r="O170" s="79"/>
      <c r="P170" s="79"/>
      <c r="Q170" s="79"/>
      <c r="R170" s="79"/>
      <c r="S170" s="79"/>
      <c r="T170" s="79"/>
      <c r="U170" s="79"/>
      <c r="V170" s="79"/>
      <c r="W170" s="79"/>
      <c r="X170" s="79"/>
      <c r="Y170" s="79"/>
      <c r="Z170" s="79"/>
      <c r="AA170" s="79"/>
      <c r="AB170" s="79"/>
      <c r="AC170" s="79"/>
      <c r="AD170" s="79"/>
      <c r="AE170" s="79"/>
      <c r="AF170" s="79"/>
      <c r="AG170" s="79"/>
      <c r="AH170" s="79"/>
      <c r="AI170" s="79"/>
      <c r="AJ170" s="79"/>
      <c r="AK170" s="79"/>
      <c r="AL170" s="79"/>
      <c r="AM170" s="79"/>
      <c r="AN170" s="79"/>
      <c r="AO170" s="79"/>
      <c r="AP170" s="79"/>
      <c r="AQ170" s="79"/>
      <c r="AR170" s="79"/>
      <c r="AS170" s="79"/>
      <c r="AT170" s="79"/>
      <c r="AU170" s="79"/>
      <c r="AV170" s="79"/>
      <c r="AW170" s="79"/>
      <c r="AX170" s="79"/>
      <c r="AY170" s="79"/>
      <c r="AZ170" s="79"/>
      <c r="BA170" s="79"/>
      <c r="BB170" s="79"/>
      <c r="BC170" s="79"/>
      <c r="BD170" s="79"/>
    </row>
    <row r="171" spans="1:56">
      <c r="A171" s="79"/>
      <c r="B171" s="79"/>
      <c r="C171" s="79"/>
      <c r="D171" s="79"/>
      <c r="E171" s="79"/>
      <c r="F171" s="79"/>
      <c r="G171" s="79"/>
      <c r="H171" s="79"/>
      <c r="I171" s="79"/>
      <c r="J171" s="79"/>
      <c r="K171" s="79"/>
      <c r="L171" s="79"/>
      <c r="M171" s="79"/>
      <c r="N171" s="79"/>
      <c r="O171" s="79"/>
      <c r="P171" s="79"/>
      <c r="Q171" s="79"/>
      <c r="R171" s="79"/>
      <c r="S171" s="79"/>
      <c r="T171" s="79"/>
      <c r="U171" s="79"/>
      <c r="V171" s="79"/>
      <c r="W171" s="79"/>
      <c r="X171" s="79"/>
      <c r="Y171" s="79"/>
      <c r="Z171" s="79"/>
      <c r="AA171" s="79"/>
      <c r="AB171" s="79"/>
      <c r="AC171" s="79"/>
      <c r="AD171" s="79"/>
      <c r="AE171" s="79"/>
      <c r="AF171" s="79"/>
      <c r="AG171" s="79"/>
      <c r="AH171" s="79"/>
      <c r="AI171" s="79"/>
      <c r="AJ171" s="79"/>
      <c r="AK171" s="79"/>
      <c r="AL171" s="79"/>
      <c r="AM171" s="79"/>
      <c r="AN171" s="79"/>
      <c r="AO171" s="79"/>
      <c r="AP171" s="79"/>
      <c r="AQ171" s="79"/>
      <c r="AR171" s="79"/>
      <c r="AS171" s="79"/>
      <c r="AT171" s="79"/>
      <c r="AU171" s="79"/>
      <c r="AV171" s="79"/>
      <c r="AW171" s="79"/>
      <c r="AX171" s="79"/>
      <c r="AY171" s="79"/>
      <c r="AZ171" s="79"/>
      <c r="BA171" s="79"/>
      <c r="BB171" s="79"/>
      <c r="BC171" s="79"/>
      <c r="BD171" s="79"/>
    </row>
    <row r="172" spans="1:56">
      <c r="A172" s="79"/>
      <c r="B172" s="79"/>
      <c r="C172" s="79"/>
      <c r="D172" s="79"/>
      <c r="E172" s="79"/>
      <c r="F172" s="79"/>
      <c r="G172" s="79"/>
      <c r="H172" s="79"/>
      <c r="I172" s="79"/>
      <c r="J172" s="79"/>
      <c r="K172" s="79"/>
      <c r="L172" s="79"/>
      <c r="M172" s="79"/>
      <c r="N172" s="79"/>
      <c r="O172" s="79"/>
      <c r="P172" s="79"/>
      <c r="Q172" s="79"/>
      <c r="R172" s="79"/>
      <c r="S172" s="79"/>
      <c r="T172" s="79"/>
      <c r="U172" s="79"/>
      <c r="V172" s="79"/>
      <c r="W172" s="79"/>
      <c r="X172" s="79"/>
      <c r="Y172" s="79"/>
      <c r="Z172" s="79"/>
      <c r="AA172" s="79"/>
      <c r="AB172" s="79"/>
      <c r="AC172" s="79"/>
      <c r="AD172" s="79"/>
      <c r="AE172" s="79"/>
      <c r="AF172" s="79"/>
      <c r="AG172" s="79"/>
      <c r="AH172" s="79"/>
      <c r="AI172" s="79"/>
      <c r="AJ172" s="79"/>
      <c r="AK172" s="79"/>
      <c r="AL172" s="79"/>
      <c r="AM172" s="79"/>
      <c r="AN172" s="79"/>
      <c r="AO172" s="79"/>
      <c r="AP172" s="79"/>
      <c r="AQ172" s="79"/>
      <c r="AR172" s="79"/>
      <c r="AS172" s="79"/>
      <c r="AT172" s="79"/>
      <c r="AU172" s="79"/>
      <c r="AV172" s="79"/>
      <c r="AW172" s="79"/>
      <c r="AX172" s="79"/>
      <c r="AY172" s="79"/>
      <c r="AZ172" s="79"/>
      <c r="BA172" s="79"/>
      <c r="BB172" s="79"/>
      <c r="BC172" s="79"/>
      <c r="BD172" s="79"/>
    </row>
    <row r="173" spans="1:56">
      <c r="A173" s="79"/>
      <c r="B173" s="79"/>
      <c r="C173" s="79"/>
      <c r="D173" s="79"/>
      <c r="E173" s="79"/>
      <c r="F173" s="79"/>
      <c r="G173" s="79"/>
      <c r="H173" s="79"/>
      <c r="I173" s="79"/>
      <c r="J173" s="79"/>
      <c r="K173" s="79"/>
      <c r="L173" s="79"/>
      <c r="M173" s="79"/>
      <c r="N173" s="79"/>
      <c r="O173" s="79"/>
      <c r="P173" s="79"/>
      <c r="Q173" s="79"/>
      <c r="R173" s="79"/>
      <c r="S173" s="79"/>
      <c r="T173" s="79"/>
      <c r="U173" s="79"/>
      <c r="V173" s="79"/>
      <c r="W173" s="79"/>
      <c r="X173" s="79"/>
      <c r="Y173" s="79"/>
      <c r="Z173" s="79"/>
      <c r="AA173" s="79"/>
      <c r="AB173" s="79"/>
      <c r="AC173" s="79"/>
      <c r="AD173" s="79"/>
      <c r="AE173" s="79"/>
      <c r="AF173" s="79"/>
      <c r="AG173" s="79"/>
      <c r="AH173" s="79"/>
      <c r="AI173" s="79"/>
      <c r="AJ173" s="79"/>
      <c r="AK173" s="79"/>
      <c r="AL173" s="79"/>
      <c r="AM173" s="79"/>
      <c r="AN173" s="79"/>
      <c r="AO173" s="79"/>
      <c r="AP173" s="79"/>
      <c r="AQ173" s="79"/>
      <c r="AR173" s="79"/>
      <c r="AS173" s="79"/>
      <c r="AT173" s="79"/>
      <c r="AU173" s="79"/>
      <c r="AV173" s="79"/>
      <c r="AW173" s="79"/>
      <c r="AX173" s="79"/>
      <c r="AY173" s="79"/>
      <c r="AZ173" s="79"/>
      <c r="BA173" s="79"/>
      <c r="BB173" s="79"/>
      <c r="BC173" s="79"/>
      <c r="BD173" s="79"/>
    </row>
    <row r="174" spans="1:56">
      <c r="A174" s="79"/>
      <c r="B174" s="79"/>
      <c r="C174" s="79"/>
      <c r="D174" s="79"/>
      <c r="E174" s="79"/>
      <c r="F174" s="79"/>
      <c r="G174" s="79"/>
      <c r="H174" s="79"/>
      <c r="I174" s="79"/>
      <c r="J174" s="79"/>
      <c r="K174" s="79"/>
      <c r="L174" s="79"/>
      <c r="M174" s="79"/>
      <c r="N174" s="79"/>
      <c r="O174" s="79"/>
      <c r="P174" s="79"/>
      <c r="Q174" s="79"/>
      <c r="R174" s="79"/>
      <c r="S174" s="79"/>
      <c r="T174" s="79"/>
      <c r="U174" s="79"/>
      <c r="V174" s="79"/>
      <c r="W174" s="79"/>
      <c r="X174" s="79"/>
      <c r="Y174" s="79"/>
      <c r="Z174" s="79"/>
      <c r="AA174" s="79"/>
      <c r="AB174" s="79"/>
      <c r="AC174" s="79"/>
      <c r="AD174" s="79"/>
      <c r="AE174" s="79"/>
      <c r="AF174" s="79"/>
      <c r="AG174" s="79"/>
      <c r="AH174" s="79"/>
      <c r="AI174" s="79"/>
      <c r="AJ174" s="79"/>
      <c r="AK174" s="79"/>
      <c r="AL174" s="79"/>
      <c r="AM174" s="79"/>
      <c r="AN174" s="79"/>
      <c r="AO174" s="79"/>
      <c r="AP174" s="79"/>
      <c r="AQ174" s="79"/>
      <c r="AR174" s="79"/>
      <c r="AS174" s="79"/>
      <c r="AT174" s="79"/>
      <c r="AU174" s="79"/>
      <c r="AV174" s="79"/>
      <c r="AW174" s="79"/>
      <c r="AX174" s="79"/>
      <c r="AY174" s="79"/>
      <c r="AZ174" s="79"/>
      <c r="BA174" s="79"/>
      <c r="BB174" s="79"/>
      <c r="BC174" s="79"/>
      <c r="BD174" s="79"/>
    </row>
    <row r="175" spans="1:56">
      <c r="A175" s="79"/>
      <c r="B175" s="79"/>
      <c r="C175" s="79"/>
      <c r="D175" s="79"/>
      <c r="E175" s="79"/>
      <c r="F175" s="79"/>
      <c r="G175" s="79"/>
      <c r="H175" s="79"/>
      <c r="I175" s="79"/>
      <c r="J175" s="79"/>
      <c r="K175" s="79"/>
      <c r="L175" s="79"/>
      <c r="M175" s="79"/>
      <c r="N175" s="79"/>
      <c r="O175" s="79"/>
      <c r="P175" s="79"/>
      <c r="Q175" s="79"/>
      <c r="R175" s="79"/>
      <c r="S175" s="79"/>
      <c r="T175" s="79"/>
      <c r="U175" s="79"/>
      <c r="V175" s="79"/>
      <c r="W175" s="79"/>
      <c r="X175" s="79"/>
      <c r="Y175" s="79"/>
      <c r="Z175" s="79"/>
      <c r="AA175" s="79"/>
      <c r="AB175" s="79"/>
      <c r="AC175" s="79"/>
      <c r="AD175" s="79"/>
      <c r="AE175" s="79"/>
      <c r="AF175" s="79"/>
      <c r="AG175" s="79"/>
      <c r="AH175" s="79"/>
      <c r="AI175" s="79"/>
      <c r="AJ175" s="79"/>
      <c r="AK175" s="79"/>
      <c r="AL175" s="79"/>
      <c r="AM175" s="79"/>
      <c r="AN175" s="79"/>
      <c r="AO175" s="79"/>
      <c r="AP175" s="79"/>
      <c r="AQ175" s="79"/>
      <c r="AR175" s="79"/>
      <c r="AS175" s="79"/>
      <c r="AT175" s="79"/>
      <c r="AU175" s="79"/>
      <c r="AV175" s="79"/>
      <c r="AW175" s="79"/>
      <c r="AX175" s="79"/>
      <c r="AY175" s="79"/>
      <c r="AZ175" s="79"/>
      <c r="BA175" s="79"/>
      <c r="BB175" s="79"/>
      <c r="BC175" s="79"/>
      <c r="BD175" s="79"/>
    </row>
    <row r="176" spans="1:56">
      <c r="A176" s="79"/>
      <c r="B176" s="79"/>
      <c r="C176" s="79"/>
      <c r="D176" s="79"/>
      <c r="E176" s="79"/>
      <c r="F176" s="79"/>
      <c r="G176" s="79"/>
      <c r="H176" s="79"/>
      <c r="I176" s="79"/>
      <c r="J176" s="79"/>
      <c r="K176" s="79"/>
      <c r="L176" s="79"/>
      <c r="M176" s="79"/>
      <c r="N176" s="79"/>
      <c r="O176" s="79"/>
      <c r="P176" s="79"/>
      <c r="Q176" s="79"/>
      <c r="R176" s="79"/>
      <c r="S176" s="79"/>
      <c r="T176" s="79"/>
      <c r="U176" s="79"/>
      <c r="V176" s="79"/>
      <c r="W176" s="79"/>
      <c r="X176" s="79"/>
      <c r="Y176" s="79"/>
      <c r="Z176" s="79"/>
      <c r="AA176" s="79"/>
      <c r="AB176" s="79"/>
      <c r="AC176" s="79"/>
      <c r="AD176" s="79"/>
      <c r="AE176" s="79"/>
      <c r="AF176" s="79"/>
      <c r="AG176" s="79"/>
      <c r="AH176" s="79"/>
      <c r="AI176" s="79"/>
      <c r="AJ176" s="79"/>
      <c r="AK176" s="79"/>
      <c r="AL176" s="79"/>
      <c r="AM176" s="79"/>
      <c r="AN176" s="79"/>
      <c r="AO176" s="79"/>
      <c r="AP176" s="79"/>
      <c r="AQ176" s="79"/>
      <c r="AR176" s="79"/>
      <c r="AS176" s="79"/>
      <c r="AT176" s="79"/>
      <c r="AU176" s="79"/>
      <c r="AV176" s="79"/>
      <c r="AW176" s="79"/>
      <c r="AX176" s="79"/>
      <c r="AY176" s="79"/>
      <c r="AZ176" s="79"/>
      <c r="BA176" s="79"/>
      <c r="BB176" s="79"/>
      <c r="BC176" s="79"/>
      <c r="BD176" s="79"/>
    </row>
    <row r="177" spans="1:56">
      <c r="A177" s="79"/>
      <c r="B177" s="79"/>
      <c r="C177" s="79"/>
      <c r="D177" s="79"/>
      <c r="E177" s="79"/>
      <c r="F177" s="79"/>
      <c r="G177" s="79"/>
      <c r="H177" s="79"/>
      <c r="I177" s="79"/>
      <c r="J177" s="79"/>
      <c r="K177" s="79"/>
      <c r="L177" s="79"/>
      <c r="M177" s="79"/>
      <c r="N177" s="79"/>
      <c r="O177" s="79"/>
      <c r="P177" s="79"/>
      <c r="Q177" s="79"/>
      <c r="R177" s="79"/>
      <c r="S177" s="79"/>
      <c r="T177" s="79"/>
      <c r="U177" s="79"/>
      <c r="V177" s="79"/>
      <c r="W177" s="79"/>
      <c r="X177" s="79"/>
      <c r="Y177" s="79"/>
      <c r="Z177" s="79"/>
      <c r="AA177" s="79"/>
      <c r="AB177" s="79"/>
      <c r="AC177" s="79"/>
      <c r="AD177" s="79"/>
      <c r="AE177" s="79"/>
      <c r="AF177" s="79"/>
      <c r="AG177" s="79"/>
      <c r="AH177" s="79"/>
      <c r="AI177" s="79"/>
      <c r="AJ177" s="79"/>
      <c r="AK177" s="79"/>
      <c r="AL177" s="79"/>
      <c r="AM177" s="79"/>
      <c r="AN177" s="79"/>
      <c r="AO177" s="79"/>
      <c r="AP177" s="79"/>
      <c r="AQ177" s="79"/>
      <c r="AR177" s="79"/>
      <c r="AS177" s="79"/>
      <c r="AT177" s="79"/>
      <c r="AU177" s="79"/>
      <c r="AV177" s="79"/>
      <c r="AW177" s="79"/>
      <c r="AX177" s="79"/>
      <c r="AY177" s="79"/>
      <c r="AZ177" s="79"/>
      <c r="BA177" s="79"/>
      <c r="BB177" s="79"/>
      <c r="BC177" s="79"/>
      <c r="BD177" s="79"/>
    </row>
    <row r="178" spans="1:56">
      <c r="A178" s="79"/>
      <c r="B178" s="79"/>
      <c r="C178" s="79"/>
      <c r="D178" s="79"/>
      <c r="E178" s="79"/>
      <c r="F178" s="79"/>
      <c r="G178" s="79"/>
      <c r="H178" s="79"/>
      <c r="I178" s="79"/>
      <c r="J178" s="79"/>
      <c r="K178" s="79"/>
      <c r="L178" s="79"/>
      <c r="M178" s="79"/>
      <c r="N178" s="79"/>
      <c r="O178" s="79"/>
      <c r="P178" s="79"/>
      <c r="Q178" s="79"/>
      <c r="R178" s="79"/>
      <c r="S178" s="79"/>
      <c r="T178" s="79"/>
      <c r="U178" s="79"/>
      <c r="V178" s="79"/>
      <c r="W178" s="79"/>
      <c r="X178" s="79"/>
      <c r="Y178" s="79"/>
      <c r="Z178" s="79"/>
      <c r="AA178" s="79"/>
      <c r="AB178" s="79"/>
      <c r="AC178" s="79"/>
      <c r="AD178" s="79"/>
      <c r="AE178" s="79"/>
      <c r="AF178" s="79"/>
      <c r="AG178" s="79"/>
      <c r="AH178" s="79"/>
      <c r="AI178" s="79"/>
      <c r="AJ178" s="79"/>
      <c r="AK178" s="79"/>
      <c r="AL178" s="79"/>
      <c r="AM178" s="79"/>
      <c r="AN178" s="79"/>
      <c r="AO178" s="79"/>
      <c r="AP178" s="79"/>
      <c r="AQ178" s="79"/>
      <c r="AR178" s="79"/>
      <c r="AS178" s="79"/>
      <c r="AT178" s="79"/>
      <c r="AU178" s="79"/>
      <c r="AV178" s="79"/>
      <c r="AW178" s="79"/>
      <c r="AX178" s="79"/>
      <c r="AY178" s="79"/>
      <c r="AZ178" s="79"/>
      <c r="BA178" s="79"/>
      <c r="BB178" s="79"/>
      <c r="BC178" s="79"/>
      <c r="BD178" s="79"/>
    </row>
    <row r="179" spans="1:56">
      <c r="A179" s="79"/>
      <c r="B179" s="79"/>
      <c r="C179" s="79"/>
      <c r="D179" s="79"/>
      <c r="E179" s="79"/>
      <c r="F179" s="79"/>
      <c r="G179" s="79"/>
      <c r="H179" s="79"/>
      <c r="I179" s="79"/>
      <c r="J179" s="79"/>
      <c r="K179" s="79"/>
      <c r="L179" s="79"/>
      <c r="M179" s="79"/>
      <c r="N179" s="79"/>
      <c r="O179" s="79"/>
      <c r="P179" s="79"/>
      <c r="Q179" s="79"/>
      <c r="R179" s="79"/>
      <c r="S179" s="79"/>
      <c r="T179" s="79"/>
      <c r="U179" s="79"/>
      <c r="V179" s="79"/>
      <c r="W179" s="79"/>
      <c r="X179" s="79"/>
      <c r="Y179" s="79"/>
      <c r="Z179" s="79"/>
      <c r="AA179" s="79"/>
      <c r="AB179" s="79"/>
      <c r="AC179" s="79"/>
      <c r="AD179" s="79"/>
      <c r="AE179" s="79"/>
      <c r="AF179" s="79"/>
      <c r="AG179" s="79"/>
      <c r="AH179" s="79"/>
      <c r="AI179" s="79"/>
      <c r="AJ179" s="79"/>
      <c r="AK179" s="79"/>
      <c r="AL179" s="79"/>
      <c r="AM179" s="79"/>
      <c r="AN179" s="79"/>
      <c r="AO179" s="79"/>
      <c r="AP179" s="79"/>
      <c r="AQ179" s="79"/>
      <c r="AR179" s="79"/>
      <c r="AS179" s="79"/>
      <c r="AT179" s="79"/>
      <c r="AU179" s="79"/>
      <c r="AV179" s="79"/>
      <c r="AW179" s="79"/>
      <c r="AX179" s="79"/>
      <c r="AY179" s="79"/>
      <c r="AZ179" s="79"/>
      <c r="BA179" s="79"/>
      <c r="BB179" s="79"/>
      <c r="BC179" s="79"/>
      <c r="BD179" s="79"/>
    </row>
    <row r="180" spans="1:56">
      <c r="A180" s="79"/>
      <c r="B180" s="79"/>
      <c r="C180" s="79"/>
      <c r="D180" s="79"/>
      <c r="E180" s="79"/>
      <c r="F180" s="79"/>
      <c r="G180" s="79"/>
      <c r="H180" s="79"/>
      <c r="I180" s="79"/>
      <c r="J180" s="79"/>
      <c r="K180" s="79"/>
      <c r="L180" s="79"/>
      <c r="M180" s="79"/>
      <c r="N180" s="79"/>
      <c r="O180" s="79"/>
      <c r="P180" s="79"/>
      <c r="Q180" s="79"/>
      <c r="R180" s="79"/>
      <c r="S180" s="79"/>
      <c r="T180" s="79"/>
      <c r="U180" s="79"/>
      <c r="V180" s="79"/>
      <c r="W180" s="79"/>
      <c r="X180" s="79"/>
      <c r="Y180" s="79"/>
      <c r="Z180" s="79"/>
      <c r="AA180" s="79"/>
      <c r="AB180" s="79"/>
      <c r="AC180" s="79"/>
      <c r="AD180" s="79"/>
      <c r="AE180" s="79"/>
      <c r="AF180" s="79"/>
      <c r="AG180" s="79"/>
      <c r="AH180" s="79"/>
      <c r="AI180" s="79"/>
      <c r="AJ180" s="79"/>
      <c r="AK180" s="79"/>
      <c r="AL180" s="79"/>
      <c r="AM180" s="79"/>
      <c r="AN180" s="79"/>
      <c r="AO180" s="79"/>
      <c r="AP180" s="79"/>
      <c r="AQ180" s="79"/>
      <c r="AR180" s="79"/>
      <c r="AS180" s="79"/>
      <c r="AT180" s="79"/>
      <c r="AU180" s="79"/>
      <c r="AV180" s="79"/>
      <c r="AW180" s="79"/>
      <c r="AX180" s="79"/>
      <c r="AY180" s="79"/>
      <c r="AZ180" s="79"/>
      <c r="BA180" s="79"/>
      <c r="BB180" s="79"/>
      <c r="BC180" s="79"/>
      <c r="BD180" s="79"/>
    </row>
    <row r="181" spans="1:56">
      <c r="A181" s="79"/>
      <c r="B181" s="79"/>
      <c r="C181" s="79"/>
      <c r="D181" s="79"/>
      <c r="E181" s="79"/>
      <c r="F181" s="79"/>
      <c r="G181" s="79"/>
      <c r="H181" s="79"/>
      <c r="I181" s="79"/>
      <c r="J181" s="79"/>
      <c r="K181" s="79"/>
      <c r="L181" s="79"/>
      <c r="M181" s="79"/>
      <c r="N181" s="79"/>
      <c r="O181" s="79"/>
      <c r="P181" s="79"/>
      <c r="Q181" s="79"/>
      <c r="R181" s="79"/>
      <c r="S181" s="79"/>
      <c r="T181" s="79"/>
      <c r="U181" s="79"/>
      <c r="V181" s="79"/>
      <c r="W181" s="79"/>
      <c r="X181" s="79"/>
      <c r="Y181" s="79"/>
      <c r="Z181" s="79"/>
      <c r="AA181" s="79"/>
      <c r="AB181" s="79"/>
      <c r="AC181" s="79"/>
      <c r="AD181" s="79"/>
      <c r="AE181" s="79"/>
      <c r="AF181" s="79"/>
      <c r="AG181" s="79"/>
      <c r="AH181" s="79"/>
      <c r="AI181" s="79"/>
      <c r="AJ181" s="79"/>
      <c r="AK181" s="79"/>
      <c r="AL181" s="79"/>
      <c r="AM181" s="79"/>
      <c r="AN181" s="79"/>
      <c r="AO181" s="79"/>
      <c r="AP181" s="79"/>
      <c r="AQ181" s="79"/>
      <c r="AR181" s="79"/>
      <c r="AS181" s="79"/>
      <c r="AT181" s="79"/>
      <c r="AU181" s="79"/>
      <c r="AV181" s="79"/>
      <c r="AW181" s="79"/>
      <c r="AX181" s="79"/>
      <c r="AY181" s="79"/>
      <c r="AZ181" s="79"/>
      <c r="BA181" s="79"/>
      <c r="BB181" s="79"/>
      <c r="BC181" s="79"/>
      <c r="BD181" s="79"/>
    </row>
    <row r="182" spans="1:56">
      <c r="A182" s="79"/>
      <c r="B182" s="79"/>
      <c r="C182" s="79"/>
      <c r="D182" s="79"/>
      <c r="E182" s="79"/>
      <c r="F182" s="79"/>
      <c r="G182" s="79"/>
      <c r="H182" s="79"/>
      <c r="I182" s="79"/>
      <c r="J182" s="79"/>
      <c r="K182" s="79"/>
      <c r="L182" s="79"/>
      <c r="M182" s="79"/>
      <c r="N182" s="79"/>
      <c r="O182" s="79"/>
      <c r="P182" s="79"/>
      <c r="Q182" s="79"/>
      <c r="R182" s="79"/>
      <c r="S182" s="79"/>
      <c r="T182" s="79"/>
      <c r="U182" s="79"/>
      <c r="V182" s="79"/>
      <c r="W182" s="79"/>
      <c r="X182" s="79"/>
      <c r="Y182" s="79"/>
      <c r="Z182" s="79"/>
      <c r="AA182" s="79"/>
      <c r="AB182" s="79"/>
      <c r="AC182" s="79"/>
      <c r="AD182" s="79"/>
      <c r="AE182" s="79"/>
      <c r="AF182" s="79"/>
      <c r="AG182" s="79"/>
      <c r="AH182" s="79"/>
      <c r="AI182" s="79"/>
      <c r="AJ182" s="79"/>
      <c r="AK182" s="79"/>
      <c r="AL182" s="79"/>
      <c r="AM182" s="79"/>
      <c r="AN182" s="79"/>
      <c r="AO182" s="79"/>
      <c r="AP182" s="79"/>
      <c r="AQ182" s="79"/>
      <c r="AR182" s="79"/>
      <c r="AS182" s="79"/>
      <c r="AT182" s="79"/>
      <c r="AU182" s="79"/>
      <c r="AV182" s="79"/>
      <c r="AW182" s="79"/>
      <c r="AX182" s="79"/>
      <c r="AY182" s="79"/>
      <c r="AZ182" s="79"/>
      <c r="BA182" s="79"/>
      <c r="BB182" s="79"/>
      <c r="BC182" s="79"/>
      <c r="BD182" s="79"/>
    </row>
    <row r="183" spans="1:56">
      <c r="A183" s="79"/>
      <c r="B183" s="79"/>
      <c r="C183" s="79"/>
      <c r="D183" s="79"/>
      <c r="E183" s="79"/>
      <c r="F183" s="79"/>
      <c r="G183" s="79"/>
      <c r="H183" s="79"/>
      <c r="I183" s="79"/>
      <c r="J183" s="79"/>
      <c r="K183" s="79"/>
      <c r="L183" s="79"/>
      <c r="M183" s="79"/>
      <c r="N183" s="79"/>
      <c r="O183" s="79"/>
      <c r="P183" s="79"/>
      <c r="Q183" s="79"/>
      <c r="R183" s="79"/>
      <c r="S183" s="79"/>
      <c r="T183" s="79"/>
      <c r="U183" s="79"/>
      <c r="V183" s="79"/>
      <c r="W183" s="79"/>
      <c r="X183" s="79"/>
      <c r="Y183" s="79"/>
      <c r="Z183" s="79"/>
      <c r="AA183" s="79"/>
      <c r="AB183" s="79"/>
      <c r="AC183" s="79"/>
      <c r="AD183" s="79"/>
      <c r="AE183" s="79"/>
      <c r="AF183" s="79"/>
      <c r="AG183" s="79"/>
      <c r="AH183" s="79"/>
      <c r="AI183" s="79"/>
      <c r="AJ183" s="79"/>
      <c r="AK183" s="79"/>
      <c r="AL183" s="79"/>
      <c r="AM183" s="79"/>
      <c r="AN183" s="79"/>
      <c r="AO183" s="79"/>
      <c r="AP183" s="79"/>
      <c r="AQ183" s="79"/>
      <c r="AR183" s="79"/>
      <c r="AS183" s="79"/>
      <c r="AT183" s="79"/>
      <c r="AU183" s="79"/>
      <c r="AV183" s="79"/>
      <c r="AW183" s="79"/>
      <c r="AX183" s="79"/>
      <c r="AY183" s="79"/>
      <c r="AZ183" s="79"/>
      <c r="BA183" s="79"/>
      <c r="BB183" s="79"/>
      <c r="BC183" s="79"/>
      <c r="BD183" s="79"/>
    </row>
    <row r="184" spans="1:56">
      <c r="A184" s="79"/>
      <c r="B184" s="79"/>
      <c r="C184" s="79"/>
      <c r="D184" s="79"/>
      <c r="E184" s="79"/>
      <c r="F184" s="79"/>
      <c r="G184" s="79"/>
      <c r="H184" s="79"/>
      <c r="I184" s="79"/>
      <c r="J184" s="79"/>
      <c r="K184" s="79"/>
      <c r="L184" s="79"/>
      <c r="M184" s="79"/>
      <c r="N184" s="79"/>
      <c r="O184" s="79"/>
      <c r="P184" s="79"/>
      <c r="Q184" s="79"/>
      <c r="R184" s="79"/>
      <c r="S184" s="79"/>
      <c r="T184" s="79"/>
      <c r="U184" s="79"/>
      <c r="V184" s="79"/>
      <c r="W184" s="79"/>
      <c r="X184" s="79"/>
      <c r="Y184" s="79"/>
      <c r="Z184" s="79"/>
      <c r="AA184" s="79"/>
      <c r="AB184" s="79"/>
      <c r="AC184" s="79"/>
      <c r="AD184" s="79"/>
      <c r="AE184" s="79"/>
      <c r="AF184" s="79"/>
      <c r="AG184" s="79"/>
      <c r="AH184" s="79"/>
      <c r="AI184" s="79"/>
      <c r="AJ184" s="79"/>
      <c r="AK184" s="79"/>
      <c r="AL184" s="79"/>
      <c r="AM184" s="79"/>
      <c r="AN184" s="79"/>
      <c r="AO184" s="79"/>
      <c r="AP184" s="79"/>
      <c r="AQ184" s="79"/>
      <c r="AR184" s="79"/>
      <c r="AS184" s="79"/>
      <c r="AT184" s="79"/>
      <c r="AU184" s="79"/>
      <c r="AV184" s="79"/>
      <c r="AW184" s="79"/>
      <c r="AX184" s="79"/>
      <c r="AY184" s="79"/>
      <c r="AZ184" s="79"/>
      <c r="BA184" s="79"/>
      <c r="BB184" s="79"/>
      <c r="BC184" s="79"/>
      <c r="BD184" s="79"/>
    </row>
    <row r="185" spans="1:56">
      <c r="A185" s="79"/>
      <c r="B185" s="79"/>
      <c r="C185" s="79"/>
      <c r="D185" s="79"/>
      <c r="E185" s="79"/>
      <c r="F185" s="79"/>
      <c r="G185" s="79"/>
      <c r="H185" s="79"/>
      <c r="I185" s="79"/>
      <c r="J185" s="79"/>
      <c r="K185" s="79"/>
      <c r="L185" s="79"/>
      <c r="M185" s="79"/>
      <c r="N185" s="79"/>
      <c r="O185" s="79"/>
      <c r="P185" s="79"/>
      <c r="Q185" s="79"/>
      <c r="R185" s="79"/>
      <c r="S185" s="79"/>
      <c r="T185" s="79"/>
      <c r="U185" s="79"/>
      <c r="V185" s="79"/>
      <c r="W185" s="79"/>
      <c r="X185" s="79"/>
      <c r="Y185" s="79"/>
      <c r="Z185" s="79"/>
      <c r="AA185" s="79"/>
      <c r="AB185" s="79"/>
      <c r="AC185" s="79"/>
      <c r="AD185" s="79"/>
      <c r="AE185" s="79"/>
      <c r="AF185" s="79"/>
      <c r="AG185" s="79"/>
      <c r="AH185" s="79"/>
      <c r="AI185" s="79"/>
      <c r="AJ185" s="79"/>
      <c r="AK185" s="79"/>
      <c r="AL185" s="79"/>
      <c r="AM185" s="79"/>
      <c r="AN185" s="79"/>
      <c r="AO185" s="79"/>
      <c r="AP185" s="79"/>
      <c r="AQ185" s="79"/>
      <c r="AR185" s="79"/>
      <c r="AS185" s="79"/>
      <c r="AT185" s="79"/>
      <c r="AU185" s="79"/>
      <c r="AV185" s="79"/>
      <c r="AW185" s="79"/>
      <c r="AX185" s="79"/>
      <c r="AY185" s="79"/>
      <c r="AZ185" s="79"/>
      <c r="BA185" s="79"/>
      <c r="BB185" s="79"/>
      <c r="BC185" s="79"/>
      <c r="BD185" s="79"/>
    </row>
    <row r="186" spans="1:56">
      <c r="A186" s="79"/>
      <c r="B186" s="79"/>
      <c r="C186" s="79"/>
      <c r="D186" s="79"/>
      <c r="E186" s="79"/>
      <c r="F186" s="79"/>
      <c r="G186" s="79"/>
      <c r="H186" s="79"/>
      <c r="I186" s="79"/>
      <c r="J186" s="79"/>
      <c r="K186" s="79"/>
      <c r="L186" s="79"/>
      <c r="M186" s="79"/>
      <c r="N186" s="79"/>
      <c r="O186" s="79"/>
      <c r="P186" s="79"/>
      <c r="Q186" s="79"/>
      <c r="R186" s="79"/>
      <c r="S186" s="79"/>
      <c r="T186" s="79"/>
      <c r="U186" s="79"/>
      <c r="V186" s="79"/>
      <c r="W186" s="79"/>
      <c r="X186" s="79"/>
      <c r="Y186" s="79"/>
      <c r="Z186" s="79"/>
      <c r="AA186" s="79"/>
      <c r="AB186" s="79"/>
      <c r="AC186" s="79"/>
      <c r="AD186" s="79"/>
      <c r="AE186" s="79"/>
      <c r="AF186" s="79"/>
      <c r="AG186" s="79"/>
      <c r="AH186" s="79"/>
      <c r="AI186" s="79"/>
      <c r="AJ186" s="79"/>
      <c r="AK186" s="79"/>
      <c r="AL186" s="79"/>
      <c r="AM186" s="79"/>
      <c r="AN186" s="79"/>
      <c r="AO186" s="79"/>
      <c r="AP186" s="79"/>
      <c r="AQ186" s="79"/>
      <c r="AR186" s="79"/>
      <c r="AS186" s="79"/>
      <c r="AT186" s="79"/>
      <c r="AU186" s="79"/>
      <c r="AV186" s="79"/>
      <c r="AW186" s="79"/>
      <c r="AX186" s="79"/>
      <c r="AY186" s="79"/>
      <c r="AZ186" s="79"/>
      <c r="BA186" s="79"/>
      <c r="BB186" s="79"/>
      <c r="BC186" s="79"/>
      <c r="BD186" s="79"/>
    </row>
    <row r="187" spans="1:56">
      <c r="A187" s="79"/>
      <c r="B187" s="79"/>
      <c r="C187" s="79"/>
      <c r="D187" s="79"/>
      <c r="E187" s="79"/>
      <c r="F187" s="79"/>
      <c r="G187" s="79"/>
      <c r="H187" s="79"/>
      <c r="I187" s="79"/>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79"/>
      <c r="AG187" s="79"/>
      <c r="AH187" s="79"/>
      <c r="AI187" s="79"/>
      <c r="AJ187" s="79"/>
      <c r="AK187" s="79"/>
      <c r="AL187" s="79"/>
      <c r="AM187" s="79"/>
      <c r="AN187" s="79"/>
      <c r="AO187" s="79"/>
      <c r="AP187" s="79"/>
      <c r="AQ187" s="79"/>
      <c r="AR187" s="79"/>
      <c r="AS187" s="79"/>
      <c r="AT187" s="79"/>
      <c r="AU187" s="79"/>
      <c r="AV187" s="79"/>
      <c r="AW187" s="79"/>
      <c r="AX187" s="79"/>
      <c r="AY187" s="79"/>
      <c r="AZ187" s="79"/>
      <c r="BA187" s="79"/>
      <c r="BB187" s="79"/>
      <c r="BC187" s="79"/>
      <c r="BD187" s="79"/>
    </row>
    <row r="188" spans="1:56">
      <c r="A188" s="79"/>
      <c r="B188" s="79"/>
      <c r="C188" s="79"/>
      <c r="D188" s="79"/>
      <c r="E188" s="79"/>
      <c r="F188" s="79"/>
      <c r="G188" s="79"/>
      <c r="H188" s="79"/>
      <c r="I188" s="79"/>
      <c r="J188" s="79"/>
      <c r="K188" s="79"/>
      <c r="L188" s="79"/>
      <c r="M188" s="79"/>
      <c r="N188" s="79"/>
      <c r="O188" s="79"/>
      <c r="P188" s="79"/>
      <c r="Q188" s="79"/>
      <c r="R188" s="79"/>
      <c r="S188" s="79"/>
      <c r="T188" s="79"/>
      <c r="U188" s="79"/>
      <c r="V188" s="79"/>
      <c r="W188" s="79"/>
      <c r="X188" s="79"/>
      <c r="Y188" s="79"/>
      <c r="Z188" s="79"/>
      <c r="AA188" s="79"/>
      <c r="AB188" s="79"/>
      <c r="AC188" s="79"/>
      <c r="AD188" s="79"/>
      <c r="AE188" s="79"/>
      <c r="AF188" s="79"/>
      <c r="AG188" s="79"/>
      <c r="AH188" s="79"/>
      <c r="AI188" s="79"/>
      <c r="AJ188" s="79"/>
      <c r="AK188" s="79"/>
      <c r="AL188" s="79"/>
      <c r="AM188" s="79"/>
      <c r="AN188" s="79"/>
      <c r="AO188" s="79"/>
      <c r="AP188" s="79"/>
      <c r="AQ188" s="79"/>
      <c r="AR188" s="79"/>
      <c r="AS188" s="79"/>
      <c r="AT188" s="79"/>
      <c r="AU188" s="79"/>
      <c r="AV188" s="79"/>
      <c r="AW188" s="79"/>
      <c r="AX188" s="79"/>
      <c r="AY188" s="79"/>
      <c r="AZ188" s="79"/>
      <c r="BA188" s="79"/>
      <c r="BB188" s="79"/>
      <c r="BC188" s="79"/>
      <c r="BD188" s="79"/>
    </row>
    <row r="189" spans="1:56">
      <c r="A189" s="79"/>
      <c r="B189" s="79"/>
      <c r="C189" s="79"/>
      <c r="D189" s="79"/>
      <c r="E189" s="79"/>
      <c r="F189" s="79"/>
      <c r="G189" s="79"/>
      <c r="H189" s="79"/>
      <c r="I189" s="79"/>
      <c r="J189" s="79"/>
      <c r="K189" s="79"/>
      <c r="L189" s="79"/>
      <c r="M189" s="79"/>
      <c r="N189" s="79"/>
      <c r="O189" s="79"/>
      <c r="P189" s="79"/>
      <c r="Q189" s="79"/>
      <c r="R189" s="79"/>
      <c r="S189" s="79"/>
      <c r="T189" s="79"/>
      <c r="U189" s="79"/>
      <c r="V189" s="79"/>
      <c r="W189" s="79"/>
      <c r="X189" s="79"/>
      <c r="Y189" s="79"/>
      <c r="Z189" s="79"/>
      <c r="AA189" s="79"/>
      <c r="AB189" s="79"/>
      <c r="AC189" s="79"/>
      <c r="AD189" s="79"/>
      <c r="AE189" s="79"/>
      <c r="AF189" s="79"/>
      <c r="AG189" s="79"/>
      <c r="AH189" s="79"/>
      <c r="AI189" s="79"/>
      <c r="AJ189" s="79"/>
      <c r="AK189" s="79"/>
      <c r="AL189" s="79"/>
      <c r="AM189" s="79"/>
      <c r="AN189" s="79"/>
      <c r="AO189" s="79"/>
      <c r="AP189" s="79"/>
      <c r="AQ189" s="79"/>
      <c r="AR189" s="79"/>
      <c r="AS189" s="79"/>
      <c r="AT189" s="79"/>
      <c r="AU189" s="79"/>
      <c r="AV189" s="79"/>
      <c r="AW189" s="79"/>
      <c r="AX189" s="79"/>
      <c r="AY189" s="79"/>
      <c r="AZ189" s="79"/>
      <c r="BA189" s="79"/>
      <c r="BB189" s="79"/>
      <c r="BC189" s="79"/>
      <c r="BD189" s="79"/>
    </row>
    <row r="190" spans="1:56">
      <c r="A190" s="79"/>
      <c r="B190" s="79"/>
      <c r="C190" s="79"/>
      <c r="D190" s="79"/>
      <c r="E190" s="79"/>
      <c r="F190" s="79"/>
      <c r="G190" s="79"/>
      <c r="H190" s="79"/>
      <c r="I190" s="79"/>
      <c r="J190" s="79"/>
      <c r="K190" s="79"/>
      <c r="L190" s="79"/>
      <c r="M190" s="79"/>
      <c r="N190" s="79"/>
      <c r="O190" s="79"/>
      <c r="P190" s="79"/>
      <c r="Q190" s="79"/>
      <c r="R190" s="79"/>
      <c r="S190" s="79"/>
      <c r="T190" s="79"/>
      <c r="U190" s="79"/>
      <c r="V190" s="79"/>
      <c r="W190" s="79"/>
      <c r="X190" s="79"/>
      <c r="Y190" s="79"/>
      <c r="Z190" s="79"/>
      <c r="AA190" s="79"/>
      <c r="AB190" s="79"/>
      <c r="AC190" s="79"/>
      <c r="AD190" s="79"/>
      <c r="AE190" s="79"/>
      <c r="AF190" s="79"/>
      <c r="AG190" s="79"/>
      <c r="AH190" s="79"/>
      <c r="AI190" s="79"/>
      <c r="AJ190" s="79"/>
      <c r="AK190" s="79"/>
      <c r="AL190" s="79"/>
      <c r="AM190" s="79"/>
      <c r="AN190" s="79"/>
      <c r="AO190" s="79"/>
      <c r="AP190" s="79"/>
      <c r="AQ190" s="79"/>
      <c r="AR190" s="79"/>
      <c r="AS190" s="79"/>
      <c r="AT190" s="79"/>
      <c r="AU190" s="79"/>
      <c r="AV190" s="79"/>
      <c r="AW190" s="79"/>
      <c r="AX190" s="79"/>
      <c r="AY190" s="79"/>
      <c r="AZ190" s="79"/>
      <c r="BA190" s="79"/>
      <c r="BB190" s="79"/>
      <c r="BC190" s="79"/>
      <c r="BD190" s="79"/>
    </row>
    <row r="191" spans="1:56">
      <c r="A191" s="79"/>
      <c r="B191" s="79"/>
      <c r="C191" s="79"/>
      <c r="D191" s="79"/>
      <c r="E191" s="79"/>
      <c r="F191" s="79"/>
      <c r="G191" s="79"/>
      <c r="H191" s="79"/>
      <c r="I191" s="79"/>
      <c r="J191" s="79"/>
      <c r="K191" s="79"/>
      <c r="L191" s="79"/>
      <c r="M191" s="79"/>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c r="AP191" s="79"/>
      <c r="AQ191" s="79"/>
      <c r="AR191" s="79"/>
      <c r="AS191" s="79"/>
      <c r="AT191" s="79"/>
      <c r="AU191" s="79"/>
      <c r="AV191" s="79"/>
      <c r="AW191" s="79"/>
      <c r="AX191" s="79"/>
      <c r="AY191" s="79"/>
      <c r="AZ191" s="79"/>
      <c r="BA191" s="79"/>
      <c r="BB191" s="79"/>
      <c r="BC191" s="79"/>
      <c r="BD191" s="79"/>
    </row>
    <row r="192" spans="1:56">
      <c r="A192" s="79"/>
      <c r="B192" s="79"/>
      <c r="C192" s="79"/>
      <c r="D192" s="79"/>
      <c r="E192" s="79"/>
      <c r="F192" s="79"/>
      <c r="G192" s="79"/>
      <c r="H192" s="79"/>
      <c r="I192" s="79"/>
      <c r="J192" s="79"/>
      <c r="K192" s="79"/>
      <c r="L192" s="79"/>
      <c r="M192" s="79"/>
      <c r="N192" s="79"/>
      <c r="O192" s="79"/>
      <c r="P192" s="79"/>
      <c r="Q192" s="79"/>
      <c r="R192" s="79"/>
      <c r="S192" s="79"/>
      <c r="T192" s="79"/>
      <c r="U192" s="79"/>
      <c r="V192" s="79"/>
      <c r="W192" s="79"/>
      <c r="X192" s="79"/>
      <c r="Y192" s="79"/>
      <c r="Z192" s="79"/>
      <c r="AA192" s="79"/>
      <c r="AB192" s="79"/>
      <c r="AC192" s="79"/>
      <c r="AD192" s="79"/>
      <c r="AE192" s="79"/>
      <c r="AF192" s="79"/>
      <c r="AG192" s="79"/>
      <c r="AH192" s="79"/>
      <c r="AI192" s="79"/>
      <c r="AJ192" s="79"/>
      <c r="AK192" s="79"/>
      <c r="AL192" s="79"/>
      <c r="AM192" s="79"/>
      <c r="AN192" s="79"/>
      <c r="AO192" s="79"/>
      <c r="AP192" s="79"/>
      <c r="AQ192" s="79"/>
      <c r="AR192" s="79"/>
      <c r="AS192" s="79"/>
      <c r="AT192" s="79"/>
      <c r="AU192" s="79"/>
      <c r="AV192" s="79"/>
      <c r="AW192" s="79"/>
      <c r="AX192" s="79"/>
      <c r="AY192" s="79"/>
      <c r="AZ192" s="79"/>
      <c r="BA192" s="79"/>
      <c r="BB192" s="79"/>
      <c r="BC192" s="79"/>
      <c r="BD192" s="79"/>
    </row>
    <row r="193" spans="1:56">
      <c r="A193" s="79"/>
      <c r="B193" s="79"/>
      <c r="C193" s="79"/>
      <c r="D193" s="79"/>
      <c r="E193" s="79"/>
      <c r="F193" s="79"/>
      <c r="G193" s="79"/>
      <c r="H193" s="79"/>
      <c r="I193" s="79"/>
      <c r="J193" s="79"/>
      <c r="K193" s="79"/>
      <c r="L193" s="79"/>
      <c r="M193" s="79"/>
      <c r="N193" s="79"/>
      <c r="O193" s="79"/>
      <c r="P193" s="79"/>
      <c r="Q193" s="79"/>
      <c r="R193" s="79"/>
      <c r="S193" s="79"/>
      <c r="T193" s="79"/>
      <c r="U193" s="79"/>
      <c r="V193" s="79"/>
      <c r="W193" s="79"/>
      <c r="X193" s="79"/>
      <c r="Y193" s="79"/>
      <c r="Z193" s="79"/>
      <c r="AA193" s="79"/>
      <c r="AB193" s="79"/>
      <c r="AC193" s="79"/>
      <c r="AD193" s="79"/>
      <c r="AE193" s="79"/>
      <c r="AF193" s="79"/>
      <c r="AG193" s="79"/>
      <c r="AH193" s="79"/>
      <c r="AI193" s="79"/>
      <c r="AJ193" s="79"/>
      <c r="AK193" s="79"/>
      <c r="AL193" s="79"/>
      <c r="AM193" s="79"/>
      <c r="AN193" s="79"/>
      <c r="AO193" s="79"/>
      <c r="AP193" s="79"/>
      <c r="AQ193" s="79"/>
      <c r="AR193" s="79"/>
      <c r="AS193" s="79"/>
      <c r="AT193" s="79"/>
      <c r="AU193" s="79"/>
      <c r="AV193" s="79"/>
      <c r="AW193" s="79"/>
      <c r="AX193" s="79"/>
      <c r="AY193" s="79"/>
      <c r="AZ193" s="79"/>
      <c r="BA193" s="79"/>
      <c r="BB193" s="79"/>
      <c r="BC193" s="79"/>
      <c r="BD193" s="79"/>
    </row>
    <row r="194" spans="1:56">
      <c r="A194" s="79"/>
      <c r="B194" s="79"/>
      <c r="C194" s="79"/>
      <c r="D194" s="79"/>
      <c r="E194" s="79"/>
      <c r="F194" s="79"/>
      <c r="G194" s="79"/>
      <c r="H194" s="79"/>
      <c r="I194" s="79"/>
      <c r="J194" s="79"/>
      <c r="K194" s="79"/>
      <c r="L194" s="79"/>
      <c r="M194" s="79"/>
      <c r="N194" s="79"/>
      <c r="O194" s="79"/>
      <c r="P194" s="79"/>
      <c r="Q194" s="79"/>
      <c r="R194" s="79"/>
      <c r="S194" s="79"/>
      <c r="T194" s="79"/>
      <c r="U194" s="79"/>
      <c r="V194" s="79"/>
      <c r="W194" s="79"/>
      <c r="X194" s="79"/>
      <c r="Y194" s="79"/>
      <c r="Z194" s="79"/>
      <c r="AA194" s="79"/>
      <c r="AB194" s="79"/>
      <c r="AC194" s="79"/>
      <c r="AD194" s="79"/>
      <c r="AE194" s="79"/>
      <c r="AF194" s="79"/>
      <c r="AG194" s="79"/>
      <c r="AH194" s="79"/>
      <c r="AI194" s="79"/>
      <c r="AJ194" s="79"/>
      <c r="AK194" s="79"/>
      <c r="AL194" s="79"/>
      <c r="AM194" s="79"/>
      <c r="AN194" s="79"/>
      <c r="AO194" s="79"/>
      <c r="AP194" s="79"/>
      <c r="AQ194" s="79"/>
      <c r="AR194" s="79"/>
      <c r="AS194" s="79"/>
      <c r="AT194" s="79"/>
      <c r="AU194" s="79"/>
      <c r="AV194" s="79"/>
      <c r="AW194" s="79"/>
      <c r="AX194" s="79"/>
      <c r="AY194" s="79"/>
      <c r="AZ194" s="79"/>
      <c r="BA194" s="79"/>
      <c r="BB194" s="79"/>
      <c r="BC194" s="79"/>
      <c r="BD194" s="79"/>
    </row>
    <row r="195" spans="1:56">
      <c r="A195" s="79"/>
      <c r="B195" s="79"/>
      <c r="C195" s="79"/>
      <c r="D195" s="79"/>
      <c r="E195" s="79"/>
      <c r="F195" s="79"/>
      <c r="G195" s="79"/>
      <c r="H195" s="79"/>
      <c r="I195" s="79"/>
      <c r="J195" s="79"/>
      <c r="K195" s="79"/>
      <c r="L195" s="79"/>
      <c r="M195" s="79"/>
      <c r="N195" s="79"/>
      <c r="O195" s="79"/>
      <c r="P195" s="79"/>
      <c r="Q195" s="79"/>
      <c r="R195" s="79"/>
      <c r="S195" s="79"/>
      <c r="T195" s="79"/>
      <c r="U195" s="79"/>
      <c r="V195" s="79"/>
      <c r="W195" s="79"/>
      <c r="X195" s="79"/>
      <c r="Y195" s="79"/>
      <c r="Z195" s="79"/>
      <c r="AA195" s="79"/>
      <c r="AB195" s="79"/>
      <c r="AC195" s="79"/>
      <c r="AD195" s="79"/>
      <c r="AE195" s="79"/>
      <c r="AF195" s="79"/>
      <c r="AG195" s="79"/>
      <c r="AH195" s="79"/>
      <c r="AI195" s="79"/>
      <c r="AJ195" s="79"/>
      <c r="AK195" s="79"/>
      <c r="AL195" s="79"/>
      <c r="AM195" s="79"/>
      <c r="AN195" s="79"/>
      <c r="AO195" s="79"/>
      <c r="AP195" s="79"/>
      <c r="AQ195" s="79"/>
      <c r="AR195" s="79"/>
      <c r="AS195" s="79"/>
      <c r="AT195" s="79"/>
      <c r="AU195" s="79"/>
      <c r="AV195" s="79"/>
      <c r="AW195" s="79"/>
      <c r="AX195" s="79"/>
      <c r="AY195" s="79"/>
      <c r="AZ195" s="79"/>
      <c r="BA195" s="79"/>
      <c r="BB195" s="79"/>
      <c r="BC195" s="79"/>
      <c r="BD195" s="79"/>
    </row>
    <row r="196" spans="1:56">
      <c r="A196" s="79"/>
      <c r="B196" s="79"/>
      <c r="C196" s="79"/>
      <c r="D196" s="79"/>
      <c r="E196" s="79"/>
      <c r="F196" s="79"/>
      <c r="G196" s="79"/>
      <c r="H196" s="79"/>
      <c r="I196" s="79"/>
      <c r="J196" s="79"/>
      <c r="K196" s="79"/>
      <c r="L196" s="79"/>
      <c r="M196" s="79"/>
      <c r="N196" s="79"/>
      <c r="O196" s="79"/>
      <c r="P196" s="79"/>
      <c r="Q196" s="79"/>
      <c r="R196" s="79"/>
      <c r="S196" s="79"/>
      <c r="T196" s="79"/>
      <c r="U196" s="79"/>
      <c r="V196" s="79"/>
      <c r="W196" s="79"/>
      <c r="X196" s="79"/>
      <c r="Y196" s="79"/>
      <c r="Z196" s="79"/>
      <c r="AA196" s="79"/>
      <c r="AB196" s="79"/>
      <c r="AC196" s="79"/>
      <c r="AD196" s="79"/>
      <c r="AE196" s="79"/>
      <c r="AF196" s="79"/>
      <c r="AG196" s="79"/>
      <c r="AH196" s="79"/>
      <c r="AI196" s="79"/>
      <c r="AJ196" s="79"/>
      <c r="AK196" s="79"/>
      <c r="AL196" s="79"/>
      <c r="AM196" s="79"/>
      <c r="AN196" s="79"/>
      <c r="AO196" s="79"/>
      <c r="AP196" s="79"/>
      <c r="AQ196" s="79"/>
      <c r="AR196" s="79"/>
      <c r="AS196" s="79"/>
      <c r="AT196" s="79"/>
      <c r="AU196" s="79"/>
      <c r="AV196" s="79"/>
      <c r="AW196" s="79"/>
      <c r="AX196" s="79"/>
      <c r="AY196" s="79"/>
      <c r="AZ196" s="79"/>
      <c r="BA196" s="79"/>
      <c r="BB196" s="79"/>
      <c r="BC196" s="79"/>
      <c r="BD196" s="79"/>
    </row>
    <row r="197" spans="1:56">
      <c r="A197" s="79"/>
      <c r="B197" s="79"/>
      <c r="C197" s="79"/>
      <c r="D197" s="79"/>
      <c r="E197" s="79"/>
      <c r="F197" s="79"/>
      <c r="G197" s="79"/>
      <c r="H197" s="79"/>
      <c r="I197" s="79"/>
      <c r="J197" s="79"/>
      <c r="K197" s="79"/>
      <c r="L197" s="79"/>
      <c r="M197" s="79"/>
      <c r="N197" s="79"/>
      <c r="O197" s="79"/>
      <c r="P197" s="79"/>
      <c r="Q197" s="79"/>
      <c r="R197" s="79"/>
      <c r="S197" s="79"/>
      <c r="T197" s="79"/>
      <c r="U197" s="79"/>
      <c r="V197" s="79"/>
      <c r="W197" s="79"/>
      <c r="X197" s="79"/>
      <c r="Y197" s="79"/>
      <c r="Z197" s="79"/>
      <c r="AA197" s="79"/>
      <c r="AB197" s="79"/>
      <c r="AC197" s="79"/>
      <c r="AD197" s="79"/>
      <c r="AE197" s="79"/>
      <c r="AF197" s="79"/>
      <c r="AG197" s="79"/>
      <c r="AH197" s="79"/>
      <c r="AI197" s="79"/>
      <c r="AJ197" s="79"/>
      <c r="AK197" s="79"/>
      <c r="AL197" s="79"/>
      <c r="AM197" s="79"/>
      <c r="AN197" s="79"/>
      <c r="AO197" s="79"/>
      <c r="AP197" s="79"/>
      <c r="AQ197" s="79"/>
      <c r="AR197" s="79"/>
      <c r="AS197" s="79"/>
      <c r="AT197" s="79"/>
      <c r="AU197" s="79"/>
      <c r="AV197" s="79"/>
      <c r="AW197" s="79"/>
      <c r="AX197" s="79"/>
      <c r="AY197" s="79"/>
      <c r="AZ197" s="79"/>
      <c r="BA197" s="79"/>
      <c r="BB197" s="79"/>
      <c r="BC197" s="79"/>
      <c r="BD197" s="79"/>
    </row>
    <row r="198" spans="1:56">
      <c r="A198" s="79"/>
      <c r="B198" s="79"/>
      <c r="C198" s="79"/>
      <c r="D198" s="79"/>
      <c r="E198" s="79"/>
      <c r="F198" s="79"/>
      <c r="G198" s="79"/>
      <c r="H198" s="79"/>
      <c r="I198" s="79"/>
      <c r="J198" s="79"/>
      <c r="K198" s="79"/>
      <c r="L198" s="79"/>
      <c r="M198" s="79"/>
      <c r="N198" s="79"/>
      <c r="O198" s="79"/>
      <c r="P198" s="79"/>
      <c r="Q198" s="79"/>
      <c r="R198" s="79"/>
      <c r="S198" s="79"/>
      <c r="T198" s="79"/>
      <c r="U198" s="79"/>
      <c r="V198" s="79"/>
      <c r="W198" s="79"/>
      <c r="X198" s="79"/>
      <c r="Y198" s="79"/>
      <c r="Z198" s="79"/>
      <c r="AA198" s="79"/>
      <c r="AB198" s="79"/>
      <c r="AC198" s="79"/>
      <c r="AD198" s="79"/>
      <c r="AE198" s="79"/>
      <c r="AF198" s="79"/>
      <c r="AG198" s="79"/>
      <c r="AH198" s="79"/>
      <c r="AI198" s="79"/>
      <c r="AJ198" s="79"/>
      <c r="AK198" s="79"/>
      <c r="AL198" s="79"/>
      <c r="AM198" s="79"/>
      <c r="AN198" s="79"/>
      <c r="AO198" s="79"/>
      <c r="AP198" s="79"/>
      <c r="AQ198" s="79"/>
      <c r="AR198" s="79"/>
      <c r="AS198" s="79"/>
      <c r="AT198" s="79"/>
      <c r="AU198" s="79"/>
      <c r="AV198" s="79"/>
      <c r="AW198" s="79"/>
      <c r="AX198" s="79"/>
      <c r="AY198" s="79"/>
      <c r="AZ198" s="79"/>
      <c r="BA198" s="79"/>
      <c r="BB198" s="79"/>
      <c r="BC198" s="79"/>
      <c r="BD198" s="79"/>
    </row>
    <row r="199" spans="1:56">
      <c r="A199" s="79"/>
      <c r="B199" s="79"/>
      <c r="C199" s="79"/>
      <c r="D199" s="79"/>
      <c r="E199" s="79"/>
      <c r="F199" s="79"/>
      <c r="G199" s="79"/>
      <c r="H199" s="79"/>
      <c r="I199" s="79"/>
      <c r="J199" s="79"/>
      <c r="K199" s="79"/>
      <c r="L199" s="79"/>
      <c r="M199" s="79"/>
      <c r="N199" s="79"/>
      <c r="O199" s="79"/>
      <c r="P199" s="79"/>
      <c r="Q199" s="79"/>
      <c r="R199" s="79"/>
      <c r="S199" s="79"/>
      <c r="T199" s="79"/>
      <c r="U199" s="79"/>
      <c r="V199" s="79"/>
      <c r="W199" s="79"/>
      <c r="X199" s="79"/>
      <c r="Y199" s="79"/>
      <c r="Z199" s="79"/>
      <c r="AA199" s="79"/>
      <c r="AB199" s="79"/>
      <c r="AC199" s="79"/>
      <c r="AD199" s="79"/>
      <c r="AE199" s="79"/>
      <c r="AF199" s="79"/>
      <c r="AG199" s="79"/>
      <c r="AH199" s="79"/>
      <c r="AI199" s="79"/>
      <c r="AJ199" s="79"/>
      <c r="AK199" s="79"/>
      <c r="AL199" s="79"/>
      <c r="AM199" s="79"/>
      <c r="AN199" s="79"/>
      <c r="AO199" s="79"/>
      <c r="AP199" s="79"/>
      <c r="AQ199" s="79"/>
      <c r="AR199" s="79"/>
      <c r="AS199" s="79"/>
      <c r="AT199" s="79"/>
      <c r="AU199" s="79"/>
      <c r="AV199" s="79"/>
      <c r="AW199" s="79"/>
      <c r="AX199" s="79"/>
      <c r="AY199" s="79"/>
      <c r="AZ199" s="79"/>
      <c r="BA199" s="79"/>
      <c r="BB199" s="79"/>
      <c r="BC199" s="79"/>
      <c r="BD199" s="79"/>
    </row>
    <row r="200" spans="1:56">
      <c r="A200" s="79"/>
      <c r="B200" s="79"/>
      <c r="C200" s="79"/>
      <c r="D200" s="79"/>
      <c r="E200" s="79"/>
      <c r="F200" s="79"/>
      <c r="G200" s="79"/>
      <c r="H200" s="79"/>
      <c r="I200" s="79"/>
      <c r="J200" s="79"/>
      <c r="K200" s="79"/>
      <c r="L200" s="79"/>
      <c r="M200" s="79"/>
      <c r="N200" s="79"/>
      <c r="O200" s="79"/>
      <c r="P200" s="79"/>
      <c r="Q200" s="79"/>
      <c r="R200" s="79"/>
      <c r="S200" s="79"/>
      <c r="T200" s="79"/>
      <c r="U200" s="79"/>
      <c r="V200" s="79"/>
      <c r="W200" s="79"/>
      <c r="X200" s="79"/>
      <c r="Y200" s="79"/>
      <c r="Z200" s="79"/>
      <c r="AA200" s="79"/>
      <c r="AB200" s="79"/>
      <c r="AC200" s="79"/>
      <c r="AD200" s="79"/>
      <c r="AE200" s="79"/>
      <c r="AF200" s="79"/>
      <c r="AG200" s="79"/>
      <c r="AH200" s="79"/>
      <c r="AI200" s="79"/>
      <c r="AJ200" s="79"/>
      <c r="AK200" s="79"/>
      <c r="AL200" s="79"/>
      <c r="AM200" s="79"/>
      <c r="AN200" s="79"/>
      <c r="AO200" s="79"/>
      <c r="AP200" s="79"/>
      <c r="AQ200" s="79"/>
      <c r="AR200" s="79"/>
      <c r="AS200" s="79"/>
      <c r="AT200" s="79"/>
      <c r="AU200" s="79"/>
      <c r="AV200" s="79"/>
      <c r="AW200" s="79"/>
      <c r="AX200" s="79"/>
      <c r="AY200" s="79"/>
      <c r="AZ200" s="79"/>
      <c r="BA200" s="79"/>
      <c r="BB200" s="79"/>
      <c r="BC200" s="79"/>
      <c r="BD200" s="79"/>
    </row>
    <row r="201" spans="1:56">
      <c r="A201" s="79"/>
      <c r="B201" s="79"/>
      <c r="C201" s="79"/>
      <c r="D201" s="79"/>
      <c r="E201" s="79"/>
      <c r="F201" s="79"/>
      <c r="G201" s="79"/>
      <c r="H201" s="79"/>
      <c r="I201" s="79"/>
      <c r="J201" s="79"/>
      <c r="K201" s="79"/>
      <c r="L201" s="79"/>
      <c r="M201" s="79"/>
      <c r="N201" s="79"/>
      <c r="O201" s="79"/>
      <c r="P201" s="79"/>
      <c r="Q201" s="79"/>
      <c r="R201" s="79"/>
      <c r="S201" s="79"/>
      <c r="T201" s="79"/>
      <c r="U201" s="79"/>
      <c r="V201" s="79"/>
      <c r="W201" s="79"/>
      <c r="X201" s="79"/>
      <c r="Y201" s="79"/>
      <c r="Z201" s="79"/>
      <c r="AA201" s="79"/>
      <c r="AB201" s="79"/>
      <c r="AC201" s="79"/>
      <c r="AD201" s="79"/>
      <c r="AE201" s="79"/>
      <c r="AF201" s="79"/>
      <c r="AG201" s="79"/>
      <c r="AH201" s="79"/>
      <c r="AI201" s="79"/>
      <c r="AJ201" s="79"/>
      <c r="AK201" s="79"/>
      <c r="AL201" s="79"/>
      <c r="AM201" s="79"/>
      <c r="AN201" s="79"/>
      <c r="AO201" s="79"/>
      <c r="AP201" s="79"/>
      <c r="AQ201" s="79"/>
      <c r="AR201" s="79"/>
      <c r="AS201" s="79"/>
      <c r="AT201" s="79"/>
      <c r="AU201" s="79"/>
      <c r="AV201" s="79"/>
      <c r="AW201" s="79"/>
      <c r="AX201" s="79"/>
      <c r="AY201" s="79"/>
      <c r="AZ201" s="79"/>
      <c r="BA201" s="79"/>
      <c r="BB201" s="79"/>
      <c r="BC201" s="79"/>
      <c r="BD201" s="79"/>
    </row>
    <row r="202" spans="1:56">
      <c r="A202" s="79"/>
      <c r="B202" s="79"/>
      <c r="C202" s="79"/>
      <c r="D202" s="79"/>
      <c r="E202" s="79"/>
      <c r="F202" s="79"/>
      <c r="G202" s="79"/>
      <c r="H202" s="79"/>
      <c r="I202" s="79"/>
      <c r="J202" s="79"/>
      <c r="K202" s="79"/>
      <c r="L202" s="79"/>
      <c r="M202" s="79"/>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c r="AP202" s="79"/>
      <c r="AQ202" s="79"/>
      <c r="AR202" s="79"/>
      <c r="AS202" s="79"/>
      <c r="AT202" s="79"/>
      <c r="AU202" s="79"/>
      <c r="AV202" s="79"/>
      <c r="AW202" s="79"/>
      <c r="AX202" s="79"/>
      <c r="AY202" s="79"/>
      <c r="AZ202" s="79"/>
      <c r="BA202" s="79"/>
      <c r="BB202" s="79"/>
      <c r="BC202" s="79"/>
      <c r="BD202" s="79"/>
    </row>
    <row r="203" spans="1:56">
      <c r="A203" s="79"/>
      <c r="B203" s="79"/>
      <c r="C203" s="79"/>
      <c r="D203" s="79"/>
      <c r="E203" s="79"/>
      <c r="F203" s="79"/>
      <c r="G203" s="79"/>
      <c r="H203" s="79"/>
      <c r="I203" s="79"/>
      <c r="J203" s="79"/>
      <c r="K203" s="79"/>
      <c r="L203" s="79"/>
      <c r="M203" s="79"/>
      <c r="N203" s="79"/>
      <c r="O203" s="79"/>
      <c r="P203" s="79"/>
      <c r="Q203" s="79"/>
      <c r="R203" s="79"/>
      <c r="S203" s="79"/>
      <c r="T203" s="79"/>
      <c r="U203" s="79"/>
      <c r="V203" s="79"/>
      <c r="W203" s="79"/>
      <c r="X203" s="79"/>
      <c r="Y203" s="79"/>
      <c r="Z203" s="79"/>
      <c r="AA203" s="79"/>
      <c r="AB203" s="79"/>
      <c r="AC203" s="79"/>
      <c r="AD203" s="79"/>
      <c r="AE203" s="79"/>
      <c r="AF203" s="79"/>
      <c r="AG203" s="79"/>
      <c r="AH203" s="79"/>
      <c r="AI203" s="79"/>
      <c r="AJ203" s="79"/>
      <c r="AK203" s="79"/>
      <c r="AL203" s="79"/>
      <c r="AM203" s="79"/>
      <c r="AN203" s="79"/>
      <c r="AO203" s="79"/>
      <c r="AP203" s="79"/>
      <c r="AQ203" s="79"/>
      <c r="AR203" s="79"/>
      <c r="AS203" s="79"/>
      <c r="AT203" s="79"/>
      <c r="AU203" s="79"/>
      <c r="AV203" s="79"/>
      <c r="AW203" s="79"/>
      <c r="AX203" s="79"/>
      <c r="AY203" s="79"/>
      <c r="AZ203" s="79"/>
      <c r="BA203" s="79"/>
      <c r="BB203" s="79"/>
      <c r="BC203" s="79"/>
      <c r="BD203" s="79"/>
    </row>
    <row r="204" spans="1:56">
      <c r="A204" s="79"/>
      <c r="B204" s="79"/>
      <c r="C204" s="79"/>
      <c r="D204" s="79"/>
      <c r="E204" s="79"/>
      <c r="F204" s="79"/>
      <c r="G204" s="79"/>
      <c r="H204" s="79"/>
      <c r="I204" s="79"/>
      <c r="J204" s="79"/>
      <c r="K204" s="79"/>
      <c r="L204" s="79"/>
      <c r="M204" s="79"/>
      <c r="N204" s="79"/>
      <c r="O204" s="79"/>
      <c r="P204" s="79"/>
      <c r="Q204" s="79"/>
      <c r="R204" s="79"/>
      <c r="S204" s="79"/>
      <c r="T204" s="79"/>
      <c r="U204" s="79"/>
      <c r="V204" s="79"/>
      <c r="W204" s="79"/>
      <c r="X204" s="79"/>
      <c r="Y204" s="79"/>
      <c r="Z204" s="79"/>
      <c r="AA204" s="79"/>
      <c r="AB204" s="79"/>
      <c r="AC204" s="79"/>
      <c r="AD204" s="79"/>
      <c r="AE204" s="79"/>
      <c r="AF204" s="79"/>
      <c r="AG204" s="79"/>
      <c r="AH204" s="79"/>
      <c r="AI204" s="79"/>
      <c r="AJ204" s="79"/>
      <c r="AK204" s="79"/>
      <c r="AL204" s="79"/>
      <c r="AM204" s="79"/>
      <c r="AN204" s="79"/>
      <c r="AO204" s="79"/>
      <c r="AP204" s="79"/>
      <c r="AQ204" s="79"/>
      <c r="AR204" s="79"/>
      <c r="AS204" s="79"/>
      <c r="AT204" s="79"/>
      <c r="AU204" s="79"/>
      <c r="AV204" s="79"/>
      <c r="AW204" s="79"/>
      <c r="AX204" s="79"/>
      <c r="AY204" s="79"/>
      <c r="AZ204" s="79"/>
      <c r="BA204" s="79"/>
      <c r="BB204" s="79"/>
      <c r="BC204" s="79"/>
      <c r="BD204" s="79"/>
    </row>
    <row r="205" spans="1:56">
      <c r="A205" s="79"/>
      <c r="B205" s="79"/>
      <c r="C205" s="79"/>
      <c r="D205" s="79"/>
      <c r="E205" s="79"/>
      <c r="F205" s="79"/>
      <c r="G205" s="79"/>
      <c r="H205" s="79"/>
      <c r="I205" s="79"/>
      <c r="J205" s="79"/>
      <c r="K205" s="79"/>
      <c r="L205" s="79"/>
      <c r="M205" s="79"/>
      <c r="N205" s="79"/>
      <c r="O205" s="79"/>
      <c r="P205" s="79"/>
      <c r="Q205" s="79"/>
      <c r="R205" s="79"/>
      <c r="S205" s="79"/>
      <c r="T205" s="79"/>
      <c r="U205" s="79"/>
      <c r="V205" s="79"/>
      <c r="W205" s="79"/>
      <c r="X205" s="79"/>
      <c r="Y205" s="79"/>
      <c r="Z205" s="79"/>
      <c r="AA205" s="79"/>
      <c r="AB205" s="79"/>
      <c r="AC205" s="79"/>
      <c r="AD205" s="79"/>
      <c r="AE205" s="79"/>
      <c r="AF205" s="79"/>
      <c r="AG205" s="79"/>
      <c r="AH205" s="79"/>
      <c r="AI205" s="79"/>
      <c r="AJ205" s="79"/>
      <c r="AK205" s="79"/>
      <c r="AL205" s="79"/>
      <c r="AM205" s="79"/>
      <c r="AN205" s="79"/>
      <c r="AO205" s="79"/>
      <c r="AP205" s="79"/>
      <c r="AQ205" s="79"/>
      <c r="AR205" s="79"/>
      <c r="AS205" s="79"/>
      <c r="AT205" s="79"/>
      <c r="AU205" s="79"/>
      <c r="AV205" s="79"/>
      <c r="AW205" s="79"/>
      <c r="AX205" s="79"/>
      <c r="AY205" s="79"/>
      <c r="AZ205" s="79"/>
      <c r="BA205" s="79"/>
      <c r="BB205" s="79"/>
      <c r="BC205" s="79"/>
      <c r="BD205" s="79"/>
    </row>
    <row r="206" spans="1:56">
      <c r="A206" s="79"/>
      <c r="B206" s="79"/>
      <c r="C206" s="79"/>
      <c r="D206" s="79"/>
      <c r="E206" s="79"/>
      <c r="F206" s="79"/>
      <c r="G206" s="79"/>
      <c r="H206" s="79"/>
      <c r="I206" s="79"/>
      <c r="J206" s="79"/>
      <c r="K206" s="79"/>
      <c r="L206" s="79"/>
      <c r="M206" s="79"/>
      <c r="N206" s="79"/>
      <c r="O206" s="79"/>
      <c r="P206" s="79"/>
      <c r="Q206" s="79"/>
      <c r="R206" s="79"/>
      <c r="S206" s="79"/>
      <c r="T206" s="79"/>
      <c r="U206" s="79"/>
      <c r="V206" s="79"/>
      <c r="W206" s="79"/>
      <c r="X206" s="79"/>
      <c r="Y206" s="79"/>
      <c r="Z206" s="79"/>
      <c r="AA206" s="79"/>
      <c r="AB206" s="79"/>
      <c r="AC206" s="79"/>
      <c r="AD206" s="79"/>
      <c r="AE206" s="79"/>
      <c r="AF206" s="79"/>
      <c r="AG206" s="79"/>
      <c r="AH206" s="79"/>
      <c r="AI206" s="79"/>
      <c r="AJ206" s="79"/>
      <c r="AK206" s="79"/>
      <c r="AL206" s="79"/>
      <c r="AM206" s="79"/>
      <c r="AN206" s="79"/>
      <c r="AO206" s="79"/>
      <c r="AP206" s="79"/>
      <c r="AQ206" s="79"/>
      <c r="AR206" s="79"/>
      <c r="AS206" s="79"/>
      <c r="AT206" s="79"/>
      <c r="AU206" s="79"/>
      <c r="AV206" s="79"/>
      <c r="AW206" s="79"/>
      <c r="AX206" s="79"/>
      <c r="AY206" s="79"/>
      <c r="AZ206" s="79"/>
      <c r="BA206" s="79"/>
      <c r="BB206" s="79"/>
      <c r="BC206" s="79"/>
      <c r="BD206" s="79"/>
    </row>
    <row r="207" spans="1:56">
      <c r="A207" s="79"/>
      <c r="B207" s="79"/>
      <c r="C207" s="79"/>
      <c r="D207" s="79"/>
      <c r="E207" s="79"/>
      <c r="F207" s="79"/>
      <c r="G207" s="79"/>
      <c r="H207" s="79"/>
      <c r="I207" s="79"/>
      <c r="J207" s="79"/>
      <c r="K207" s="79"/>
      <c r="L207" s="79"/>
      <c r="M207" s="79"/>
      <c r="N207" s="79"/>
      <c r="O207" s="79"/>
      <c r="P207" s="79"/>
      <c r="Q207" s="79"/>
      <c r="R207" s="79"/>
      <c r="S207" s="79"/>
      <c r="T207" s="79"/>
      <c r="U207" s="79"/>
      <c r="V207" s="79"/>
      <c r="W207" s="79"/>
      <c r="X207" s="79"/>
      <c r="Y207" s="79"/>
      <c r="Z207" s="79"/>
      <c r="AA207" s="79"/>
      <c r="AB207" s="79"/>
      <c r="AC207" s="79"/>
      <c r="AD207" s="79"/>
      <c r="AE207" s="79"/>
      <c r="AF207" s="79"/>
      <c r="AG207" s="79"/>
      <c r="AH207" s="79"/>
      <c r="AI207" s="79"/>
      <c r="AJ207" s="79"/>
      <c r="AK207" s="79"/>
      <c r="AL207" s="79"/>
      <c r="AM207" s="79"/>
      <c r="AN207" s="79"/>
      <c r="AO207" s="79"/>
      <c r="AP207" s="79"/>
      <c r="AQ207" s="79"/>
      <c r="AR207" s="79"/>
      <c r="AS207" s="79"/>
      <c r="AT207" s="79"/>
      <c r="AU207" s="79"/>
      <c r="AV207" s="79"/>
      <c r="AW207" s="79"/>
      <c r="AX207" s="79"/>
      <c r="AY207" s="79"/>
      <c r="AZ207" s="79"/>
      <c r="BA207" s="79"/>
      <c r="BB207" s="79"/>
      <c r="BC207" s="79"/>
      <c r="BD207" s="79"/>
    </row>
    <row r="208" spans="1:56">
      <c r="A208" s="79"/>
      <c r="B208" s="79"/>
      <c r="C208" s="79"/>
      <c r="D208" s="79"/>
      <c r="E208" s="79"/>
      <c r="F208" s="79"/>
      <c r="G208" s="79"/>
      <c r="H208" s="79"/>
      <c r="I208" s="79"/>
      <c r="J208" s="79"/>
      <c r="K208" s="79"/>
      <c r="L208" s="79"/>
      <c r="M208" s="79"/>
      <c r="N208" s="79"/>
      <c r="O208" s="79"/>
      <c r="P208" s="79"/>
      <c r="Q208" s="79"/>
      <c r="R208" s="79"/>
      <c r="S208" s="79"/>
      <c r="T208" s="79"/>
      <c r="U208" s="79"/>
      <c r="V208" s="79"/>
      <c r="W208" s="79"/>
      <c r="X208" s="79"/>
      <c r="Y208" s="79"/>
      <c r="Z208" s="79"/>
      <c r="AA208" s="79"/>
      <c r="AB208" s="79"/>
      <c r="AC208" s="79"/>
      <c r="AD208" s="79"/>
      <c r="AE208" s="79"/>
      <c r="AF208" s="79"/>
      <c r="AG208" s="79"/>
      <c r="AH208" s="79"/>
      <c r="AI208" s="79"/>
      <c r="AJ208" s="79"/>
      <c r="AK208" s="79"/>
      <c r="AL208" s="79"/>
      <c r="AM208" s="79"/>
      <c r="AN208" s="79"/>
      <c r="AO208" s="79"/>
      <c r="AP208" s="79"/>
      <c r="AQ208" s="79"/>
      <c r="AR208" s="79"/>
      <c r="AS208" s="79"/>
      <c r="AT208" s="79"/>
      <c r="AU208" s="79"/>
      <c r="AV208" s="79"/>
      <c r="AW208" s="79"/>
      <c r="AX208" s="79"/>
      <c r="AY208" s="79"/>
      <c r="AZ208" s="79"/>
      <c r="BA208" s="79"/>
      <c r="BB208" s="79"/>
      <c r="BC208" s="79"/>
      <c r="BD208" s="79"/>
    </row>
    <row r="209" spans="1:56">
      <c r="A209" s="79"/>
      <c r="B209" s="79"/>
      <c r="C209" s="79"/>
      <c r="D209" s="79"/>
      <c r="E209" s="79"/>
      <c r="F209" s="79"/>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c r="BB209" s="79"/>
      <c r="BC209" s="79"/>
      <c r="BD209" s="79"/>
    </row>
    <row r="210" spans="1:56">
      <c r="A210" s="79"/>
      <c r="B210" s="79"/>
      <c r="C210" s="79"/>
      <c r="D210" s="79"/>
      <c r="E210" s="79"/>
      <c r="F210" s="79"/>
      <c r="G210" s="79"/>
      <c r="H210" s="79"/>
      <c r="I210" s="79"/>
      <c r="J210" s="79"/>
      <c r="K210" s="79"/>
      <c r="L210" s="79"/>
      <c r="M210" s="79"/>
      <c r="N210" s="79"/>
      <c r="O210" s="79"/>
      <c r="P210" s="79"/>
      <c r="Q210" s="79"/>
      <c r="R210" s="79"/>
      <c r="S210" s="79"/>
      <c r="T210" s="79"/>
      <c r="U210" s="79"/>
      <c r="V210" s="79"/>
      <c r="W210" s="79"/>
      <c r="X210" s="79"/>
      <c r="Y210" s="79"/>
      <c r="Z210" s="79"/>
      <c r="AA210" s="79"/>
      <c r="AB210" s="79"/>
      <c r="AC210" s="79"/>
      <c r="AD210" s="79"/>
      <c r="AE210" s="79"/>
      <c r="AF210" s="79"/>
      <c r="AG210" s="79"/>
      <c r="AH210" s="79"/>
      <c r="AI210" s="79"/>
      <c r="AJ210" s="79"/>
      <c r="AK210" s="79"/>
      <c r="AL210" s="79"/>
      <c r="AM210" s="79"/>
      <c r="AN210" s="79"/>
      <c r="AO210" s="79"/>
      <c r="AP210" s="79"/>
      <c r="AQ210" s="79"/>
      <c r="AR210" s="79"/>
      <c r="AS210" s="79"/>
      <c r="AT210" s="79"/>
      <c r="AU210" s="79"/>
      <c r="AV210" s="79"/>
      <c r="AW210" s="79"/>
      <c r="AX210" s="79"/>
      <c r="AY210" s="79"/>
      <c r="AZ210" s="79"/>
      <c r="BA210" s="79"/>
      <c r="BB210" s="79"/>
      <c r="BC210" s="79"/>
      <c r="BD210" s="79"/>
    </row>
    <row r="211" spans="1:56">
      <c r="A211" s="79"/>
      <c r="B211" s="79"/>
      <c r="C211" s="79"/>
      <c r="D211" s="79"/>
      <c r="E211" s="79"/>
      <c r="F211" s="79"/>
      <c r="G211" s="79"/>
      <c r="H211" s="79"/>
      <c r="I211" s="79"/>
      <c r="J211" s="79"/>
      <c r="K211" s="79"/>
      <c r="L211" s="79"/>
      <c r="M211" s="79"/>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c r="AP211" s="79"/>
      <c r="AQ211" s="79"/>
      <c r="AR211" s="79"/>
      <c r="AS211" s="79"/>
      <c r="AT211" s="79"/>
      <c r="AU211" s="79"/>
      <c r="AV211" s="79"/>
      <c r="AW211" s="79"/>
      <c r="AX211" s="79"/>
      <c r="AY211" s="79"/>
      <c r="AZ211" s="79"/>
      <c r="BA211" s="79"/>
      <c r="BB211" s="79"/>
      <c r="BC211" s="79"/>
      <c r="BD211" s="79"/>
    </row>
    <row r="212" spans="1:56">
      <c r="A212" s="79"/>
      <c r="B212" s="79"/>
      <c r="C212" s="79"/>
      <c r="D212" s="79"/>
      <c r="E212" s="79"/>
      <c r="F212" s="79"/>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row>
    <row r="213" spans="1:56">
      <c r="A213" s="79"/>
      <c r="B213" s="79"/>
      <c r="C213" s="79"/>
      <c r="D213" s="79"/>
      <c r="E213" s="79"/>
      <c r="F213" s="79"/>
      <c r="G213" s="79"/>
      <c r="H213" s="79"/>
      <c r="I213" s="79"/>
      <c r="J213" s="79"/>
      <c r="K213" s="79"/>
      <c r="L213" s="79"/>
      <c r="M213" s="79"/>
      <c r="N213" s="79"/>
      <c r="O213" s="79"/>
      <c r="P213" s="79"/>
      <c r="Q213" s="79"/>
      <c r="R213" s="79"/>
      <c r="S213" s="79"/>
      <c r="T213" s="79"/>
      <c r="U213" s="79"/>
      <c r="V213" s="79"/>
      <c r="W213" s="79"/>
      <c r="X213" s="79"/>
      <c r="Y213" s="79"/>
      <c r="Z213" s="79"/>
      <c r="AA213" s="79"/>
      <c r="AB213" s="79"/>
      <c r="AC213" s="79"/>
      <c r="AD213" s="79"/>
      <c r="AE213" s="79"/>
      <c r="AF213" s="79"/>
      <c r="AG213" s="79"/>
      <c r="AH213" s="79"/>
      <c r="AI213" s="79"/>
      <c r="AJ213" s="79"/>
      <c r="AK213" s="79"/>
      <c r="AL213" s="79"/>
      <c r="AM213" s="79"/>
      <c r="AN213" s="79"/>
      <c r="AO213" s="79"/>
      <c r="AP213" s="79"/>
      <c r="AQ213" s="79"/>
      <c r="AR213" s="79"/>
      <c r="AS213" s="79"/>
      <c r="AT213" s="79"/>
      <c r="AU213" s="79"/>
      <c r="AV213" s="79"/>
      <c r="AW213" s="79"/>
      <c r="AX213" s="79"/>
      <c r="AY213" s="79"/>
      <c r="AZ213" s="79"/>
      <c r="BA213" s="79"/>
      <c r="BB213" s="79"/>
      <c r="BC213" s="79"/>
      <c r="BD213" s="79"/>
    </row>
  </sheetData>
  <sheetProtection algorithmName="SHA-512" hashValue="EVFzSIxaYZ0QPdLtw5qR0sQtFZDn/trg3Ai0rkwQ3gONZn1XSuNcZ4hlKX9zVTDpjoW1gcrE992tP/cqaeTFyg==" saltValue="RMVvTh3RuRoAEBzvepxIPw==" spinCount="100000" sheet="1" selectLockedCells="1"/>
  <mergeCells count="48">
    <mergeCell ref="Q24:R24"/>
    <mergeCell ref="C2:AB2"/>
    <mergeCell ref="R4:X4"/>
    <mergeCell ref="T9:T10"/>
    <mergeCell ref="V9:V10"/>
    <mergeCell ref="X9:X10"/>
    <mergeCell ref="Z9:Z10"/>
    <mergeCell ref="D9:D10"/>
    <mergeCell ref="N9:N10"/>
    <mergeCell ref="F13:G13"/>
    <mergeCell ref="J11:K11"/>
    <mergeCell ref="F15:G15"/>
    <mergeCell ref="N24:O24"/>
    <mergeCell ref="C4:O5"/>
    <mergeCell ref="F9:F10"/>
    <mergeCell ref="H9:H10"/>
    <mergeCell ref="R25:T25"/>
    <mergeCell ref="V25:AA25"/>
    <mergeCell ref="Q27:T27"/>
    <mergeCell ref="U27:V27"/>
    <mergeCell ref="Y27:AA27"/>
    <mergeCell ref="C41:M41"/>
    <mergeCell ref="C42:M42"/>
    <mergeCell ref="F31:H31"/>
    <mergeCell ref="F32:H32"/>
    <mergeCell ref="F33:H33"/>
    <mergeCell ref="F34:H34"/>
    <mergeCell ref="D31:E31"/>
    <mergeCell ref="D32:E32"/>
    <mergeCell ref="D33:E33"/>
    <mergeCell ref="D34:E34"/>
    <mergeCell ref="I34:M34"/>
    <mergeCell ref="I31:M31"/>
    <mergeCell ref="I32:M32"/>
    <mergeCell ref="I33:M33"/>
    <mergeCell ref="C39:M39"/>
    <mergeCell ref="C40:M40"/>
    <mergeCell ref="J9:J10"/>
    <mergeCell ref="J24:K24"/>
    <mergeCell ref="N34:O34"/>
    <mergeCell ref="N31:O31"/>
    <mergeCell ref="N32:O32"/>
    <mergeCell ref="E29:O30"/>
    <mergeCell ref="F17:G17"/>
    <mergeCell ref="F19:G19"/>
    <mergeCell ref="F21:G21"/>
    <mergeCell ref="F23:G23"/>
    <mergeCell ref="N33:O33"/>
  </mergeCells>
  <phoneticPr fontId="1"/>
  <dataValidations count="3">
    <dataValidation type="whole" imeMode="off" operator="greaterThanOrEqual" allowBlank="1" showInputMessage="1" showErrorMessage="1" errorTitle="金額エラー" error="0　以上の数値を入力してください。" sqref="F12 H12 F20 H20 H14 F14 F16 H16 H22 F22 H18 F18" xr:uid="{00000000-0002-0000-0100-000000000000}">
      <formula1>0</formula1>
    </dataValidation>
    <dataValidation type="whole" imeMode="off" operator="greaterThanOrEqual" allowBlank="1" showInputMessage="1" showErrorMessage="1" errorTitle="金額エラー" error="0　以上の数値を入力してください。" sqref="J12 J14 J16 J18 J20 J22" xr:uid="{00000000-0002-0000-0100-000001000000}">
      <formula1>-999999999</formula1>
    </dataValidation>
    <dataValidation type="date" imeMode="off" allowBlank="1" showInputMessage="1" showErrorMessage="1" errorTitle="日付エラー" error="日付形式で入力してください。_x000a_S50/1/1 or 1975/1/1_x000a_1900/1/1 &lt; N &lt; 2030/3/31" promptTitle="生年月日の入力" prompt="例　S50/1/1 or 1975/1/1" sqref="D23 D19 D17 D15 D21 D13" xr:uid="{00000000-0002-0000-0100-000002000000}">
      <formula1>1</formula1>
      <formula2>47573</formula2>
    </dataValidation>
  </dataValidations>
  <pageMargins left="0.19685039370078741" right="0.15748031496062992" top="0.31496062992125984" bottom="0.35433070866141736" header="0.19685039370078741" footer="0.27559055118110237"/>
  <pageSetup paperSize="9" scale="89" orientation="landscape" r:id="rId1"/>
  <headerFooter>
    <oddHeader>&amp;R&amp;9&amp;F &amp;D</oddHeader>
  </headerFooter>
  <ignoredErrors>
    <ignoredError sqref="N13 N15 N17 N19 N21"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3</xdr:col>
                    <xdr:colOff>0</xdr:colOff>
                    <xdr:row>11</xdr:row>
                    <xdr:rowOff>0</xdr:rowOff>
                  </from>
                  <to>
                    <xdr:col>4</xdr:col>
                    <xdr:colOff>228600</xdr:colOff>
                    <xdr:row>12</xdr:row>
                    <xdr:rowOff>0</xdr:rowOff>
                  </to>
                </anchor>
              </controlPr>
            </control>
          </mc:Choice>
        </mc:AlternateContent>
        <mc:AlternateContent xmlns:mc="http://schemas.openxmlformats.org/markup-compatibility/2006">
          <mc:Choice Requires="x14">
            <control shapeId="3074" r:id="rId5" name="Drop Down 2">
              <controlPr defaultSize="0" autoLine="0" autoPict="0">
                <anchor moveWithCells="1">
                  <from>
                    <xdr:col>3</xdr:col>
                    <xdr:colOff>0</xdr:colOff>
                    <xdr:row>13</xdr:row>
                    <xdr:rowOff>0</xdr:rowOff>
                  </from>
                  <to>
                    <xdr:col>4</xdr:col>
                    <xdr:colOff>228600</xdr:colOff>
                    <xdr:row>14</xdr:row>
                    <xdr:rowOff>0</xdr:rowOff>
                  </to>
                </anchor>
              </controlPr>
            </control>
          </mc:Choice>
        </mc:AlternateContent>
        <mc:AlternateContent xmlns:mc="http://schemas.openxmlformats.org/markup-compatibility/2006">
          <mc:Choice Requires="x14">
            <control shapeId="3075" r:id="rId6" name="Drop Down 3">
              <controlPr defaultSize="0" autoLine="0" autoPict="0">
                <anchor moveWithCells="1">
                  <from>
                    <xdr:col>3</xdr:col>
                    <xdr:colOff>0</xdr:colOff>
                    <xdr:row>15</xdr:row>
                    <xdr:rowOff>0</xdr:rowOff>
                  </from>
                  <to>
                    <xdr:col>4</xdr:col>
                    <xdr:colOff>228600</xdr:colOff>
                    <xdr:row>16</xdr:row>
                    <xdr:rowOff>0</xdr:rowOff>
                  </to>
                </anchor>
              </controlPr>
            </control>
          </mc:Choice>
        </mc:AlternateContent>
        <mc:AlternateContent xmlns:mc="http://schemas.openxmlformats.org/markup-compatibility/2006">
          <mc:Choice Requires="x14">
            <control shapeId="3076" r:id="rId7" name="Drop Down 4">
              <controlPr defaultSize="0" autoLine="0" autoPict="0">
                <anchor moveWithCells="1">
                  <from>
                    <xdr:col>3</xdr:col>
                    <xdr:colOff>0</xdr:colOff>
                    <xdr:row>17</xdr:row>
                    <xdr:rowOff>0</xdr:rowOff>
                  </from>
                  <to>
                    <xdr:col>4</xdr:col>
                    <xdr:colOff>228600</xdr:colOff>
                    <xdr:row>18</xdr:row>
                    <xdr:rowOff>0</xdr:rowOff>
                  </to>
                </anchor>
              </controlPr>
            </control>
          </mc:Choice>
        </mc:AlternateContent>
        <mc:AlternateContent xmlns:mc="http://schemas.openxmlformats.org/markup-compatibility/2006">
          <mc:Choice Requires="x14">
            <control shapeId="3077" r:id="rId8" name="Drop Down 5">
              <controlPr defaultSize="0" autoLine="0" autoPict="0">
                <anchor moveWithCells="1">
                  <from>
                    <xdr:col>3</xdr:col>
                    <xdr:colOff>0</xdr:colOff>
                    <xdr:row>19</xdr:row>
                    <xdr:rowOff>0</xdr:rowOff>
                  </from>
                  <to>
                    <xdr:col>4</xdr:col>
                    <xdr:colOff>228600</xdr:colOff>
                    <xdr:row>20</xdr:row>
                    <xdr:rowOff>0</xdr:rowOff>
                  </to>
                </anchor>
              </controlPr>
            </control>
          </mc:Choice>
        </mc:AlternateContent>
        <mc:AlternateContent xmlns:mc="http://schemas.openxmlformats.org/markup-compatibility/2006">
          <mc:Choice Requires="x14">
            <control shapeId="3078" r:id="rId9" name="Drop Down 6">
              <controlPr defaultSize="0" autoLine="0" autoPict="0">
                <anchor moveWithCells="1">
                  <from>
                    <xdr:col>3</xdr:col>
                    <xdr:colOff>0</xdr:colOff>
                    <xdr:row>21</xdr:row>
                    <xdr:rowOff>0</xdr:rowOff>
                  </from>
                  <to>
                    <xdr:col>4</xdr:col>
                    <xdr:colOff>228600</xdr:colOff>
                    <xdr:row>22</xdr:row>
                    <xdr:rowOff>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B0EDBB71-0F98-4ED2-896B-8E9C2DCDAF9F}">
            <xm:f>表!$B$11&lt;&gt;表!$P$20</xm:f>
            <x14:dxf>
              <font>
                <strike val="0"/>
                <u/>
                <color auto="1"/>
              </font>
            </x14:dxf>
          </x14:cfRule>
          <xm:sqref>C12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Q127"/>
  <sheetViews>
    <sheetView view="pageBreakPreview" zoomScaleNormal="100" zoomScaleSheetLayoutView="100" workbookViewId="0">
      <selection activeCell="D2" sqref="D2"/>
    </sheetView>
  </sheetViews>
  <sheetFormatPr defaultRowHeight="13" outlineLevelCol="1"/>
  <cols>
    <col min="1" max="1" width="12.453125" customWidth="1"/>
    <col min="2" max="2" width="9.6328125" customWidth="1"/>
    <col min="3" max="3" width="9.90625" customWidth="1"/>
    <col min="4" max="5" width="9.26953125" customWidth="1"/>
    <col min="6" max="10" width="9.36328125" customWidth="1"/>
    <col min="11" max="15" width="9.453125" customWidth="1"/>
    <col min="16" max="16" width="9.453125" style="165" customWidth="1"/>
    <col min="17" max="17" width="9.453125" customWidth="1"/>
    <col min="18" max="18" width="11" customWidth="1"/>
    <col min="19" max="19" width="9" bestFit="1" customWidth="1"/>
    <col min="20" max="20" width="8.26953125" customWidth="1"/>
    <col min="22" max="22" width="9.453125" hidden="1" customWidth="1" outlineLevel="1"/>
    <col min="23" max="26" width="9" hidden="1" customWidth="1" outlineLevel="1"/>
    <col min="27" max="27" width="9.7265625" hidden="1" customWidth="1" outlineLevel="1"/>
    <col min="28" max="41" width="9" hidden="1" customWidth="1" outlineLevel="1"/>
    <col min="42" max="42" width="9" collapsed="1"/>
  </cols>
  <sheetData>
    <row r="1" spans="1:41">
      <c r="A1" s="2" t="s">
        <v>6</v>
      </c>
      <c r="B1" s="2" t="s">
        <v>203</v>
      </c>
      <c r="C1" s="19" t="s">
        <v>77</v>
      </c>
      <c r="D1" s="1" t="s">
        <v>7</v>
      </c>
      <c r="E1" s="2" t="s">
        <v>8</v>
      </c>
      <c r="F1" s="2" t="s">
        <v>10</v>
      </c>
      <c r="G1" s="2" t="s">
        <v>13</v>
      </c>
      <c r="H1" s="2" t="s">
        <v>55</v>
      </c>
      <c r="I1" s="2" t="s">
        <v>56</v>
      </c>
      <c r="J1" s="18" t="s">
        <v>14</v>
      </c>
      <c r="K1" s="2" t="s">
        <v>21</v>
      </c>
      <c r="L1" s="2" t="s">
        <v>22</v>
      </c>
      <c r="M1" s="2" t="s">
        <v>23</v>
      </c>
      <c r="N1" s="238"/>
      <c r="O1" s="260" t="s">
        <v>173</v>
      </c>
      <c r="P1" s="8"/>
      <c r="Q1" s="8"/>
      <c r="R1" s="8"/>
      <c r="S1" s="8"/>
      <c r="T1" s="8"/>
      <c r="U1" s="12"/>
      <c r="V1" s="321"/>
      <c r="W1" s="321"/>
      <c r="X1" s="321"/>
      <c r="Y1" s="321"/>
      <c r="Z1" s="321"/>
      <c r="AA1" s="321"/>
      <c r="AB1" s="321"/>
      <c r="AC1" s="321"/>
      <c r="AD1" s="321"/>
      <c r="AE1" s="321"/>
      <c r="AF1" s="321"/>
      <c r="AG1" s="321"/>
      <c r="AH1" s="321"/>
      <c r="AI1" s="321"/>
      <c r="AJ1" s="321"/>
      <c r="AK1" s="321"/>
      <c r="AL1" s="321"/>
      <c r="AM1" s="321"/>
      <c r="AN1" s="321"/>
      <c r="AO1" s="321"/>
    </row>
    <row r="2" spans="1:41">
      <c r="A2" s="302" t="s">
        <v>215</v>
      </c>
      <c r="B2" s="44">
        <v>1</v>
      </c>
      <c r="C2" s="12"/>
      <c r="D2" s="274">
        <v>7</v>
      </c>
      <c r="E2" s="2" t="s">
        <v>9</v>
      </c>
      <c r="F2" s="275">
        <v>30133</v>
      </c>
      <c r="G2" s="275">
        <v>29758</v>
      </c>
      <c r="H2" s="276">
        <v>8.3000000000000004E-2</v>
      </c>
      <c r="I2" s="275">
        <v>660000</v>
      </c>
      <c r="J2" s="277" t="s">
        <v>200</v>
      </c>
      <c r="K2" s="275">
        <v>430000</v>
      </c>
      <c r="L2" s="275">
        <v>305000</v>
      </c>
      <c r="M2" s="275">
        <v>560000</v>
      </c>
      <c r="N2" s="216"/>
      <c r="O2" s="257">
        <f>計算!AE16</f>
        <v>0</v>
      </c>
      <c r="P2" s="254"/>
      <c r="Q2" s="255"/>
      <c r="R2" s="256"/>
      <c r="S2" s="254"/>
      <c r="T2" s="254"/>
      <c r="U2" s="12"/>
      <c r="V2" s="321"/>
      <c r="W2" s="321"/>
      <c r="X2" s="321"/>
      <c r="Y2" s="321"/>
      <c r="Z2" s="321"/>
      <c r="AA2" s="322" t="str">
        <f>"平成"&amp;D2&amp;"年度"</f>
        <v>平成7年度</v>
      </c>
      <c r="AB2" s="323" t="s">
        <v>177</v>
      </c>
      <c r="AC2" s="323" t="s">
        <v>178</v>
      </c>
      <c r="AD2" s="323" t="s">
        <v>179</v>
      </c>
      <c r="AE2" s="323" t="s">
        <v>180</v>
      </c>
      <c r="AF2" s="323" t="s">
        <v>181</v>
      </c>
      <c r="AG2" s="323" t="s">
        <v>182</v>
      </c>
      <c r="AH2" s="323" t="s">
        <v>183</v>
      </c>
      <c r="AI2" s="323" t="s">
        <v>184</v>
      </c>
      <c r="AJ2" s="323" t="s">
        <v>185</v>
      </c>
      <c r="AK2" s="323" t="s">
        <v>186</v>
      </c>
      <c r="AL2" s="323" t="s">
        <v>187</v>
      </c>
      <c r="AM2" s="324" t="s">
        <v>188</v>
      </c>
      <c r="AN2" s="325" t="s">
        <v>189</v>
      </c>
      <c r="AO2" s="325" t="s">
        <v>190</v>
      </c>
    </row>
    <row r="3" spans="1:41">
      <c r="A3" s="303" t="s">
        <v>136</v>
      </c>
      <c r="B3" s="45">
        <v>2</v>
      </c>
      <c r="C3" s="12"/>
      <c r="D3" s="12"/>
      <c r="E3" s="2" t="s">
        <v>12</v>
      </c>
      <c r="F3" s="275">
        <v>10330</v>
      </c>
      <c r="G3" s="275">
        <v>10201</v>
      </c>
      <c r="H3" s="388">
        <v>2.7799999999999998E-2</v>
      </c>
      <c r="I3" s="275">
        <v>260000</v>
      </c>
      <c r="J3" s="12"/>
      <c r="K3" s="12"/>
      <c r="L3" s="12"/>
      <c r="M3" s="12"/>
      <c r="N3" s="12"/>
      <c r="O3" s="258">
        <f>EOMONTH(O2,0)+1</f>
        <v>32</v>
      </c>
      <c r="P3" s="254"/>
      <c r="Q3" s="255"/>
      <c r="R3" s="255"/>
      <c r="S3" s="254"/>
      <c r="T3" s="254"/>
      <c r="U3" s="12"/>
      <c r="V3" s="321"/>
      <c r="W3" s="321"/>
      <c r="X3" s="321"/>
      <c r="Y3" s="321"/>
      <c r="Z3" s="321"/>
      <c r="AA3" s="322" t="s">
        <v>191</v>
      </c>
      <c r="AB3" s="326"/>
      <c r="AC3" s="326"/>
      <c r="AD3" s="326"/>
      <c r="AE3" s="326"/>
      <c r="AF3" s="326"/>
      <c r="AG3" s="326"/>
      <c r="AH3" s="326"/>
      <c r="AI3" s="326"/>
      <c r="AJ3" s="326"/>
      <c r="AK3" s="326"/>
      <c r="AL3" s="327"/>
      <c r="AM3" s="328">
        <f>SUM(AB3:AL3)</f>
        <v>0</v>
      </c>
      <c r="AN3" s="329"/>
      <c r="AO3" s="325">
        <v>1</v>
      </c>
    </row>
    <row r="4" spans="1:41">
      <c r="A4" s="303" t="s">
        <v>137</v>
      </c>
      <c r="B4" s="45">
        <v>3</v>
      </c>
      <c r="C4" s="12"/>
      <c r="D4" s="12"/>
      <c r="E4" s="2" t="s">
        <v>11</v>
      </c>
      <c r="F4" s="275">
        <v>9522</v>
      </c>
      <c r="G4" s="275">
        <v>7163</v>
      </c>
      <c r="H4" s="276">
        <v>2.3400000000000001E-2</v>
      </c>
      <c r="I4" s="275">
        <v>170000</v>
      </c>
      <c r="J4" s="12"/>
      <c r="K4" s="12"/>
      <c r="L4" s="12"/>
      <c r="M4" s="12"/>
      <c r="N4" s="12"/>
      <c r="O4" s="18" t="s">
        <v>171</v>
      </c>
      <c r="P4" s="254"/>
      <c r="Q4" s="255"/>
      <c r="R4" s="255"/>
      <c r="S4" s="254"/>
      <c r="T4" s="254"/>
      <c r="U4" s="12"/>
      <c r="V4" s="321"/>
      <c r="W4" s="321"/>
      <c r="X4" s="321"/>
      <c r="Y4" s="321"/>
      <c r="Z4" s="321"/>
      <c r="AA4" s="322" t="s">
        <v>192</v>
      </c>
      <c r="AB4" s="326"/>
      <c r="AC4" s="326"/>
      <c r="AD4" s="326"/>
      <c r="AE4" s="326"/>
      <c r="AF4" s="326"/>
      <c r="AG4" s="326"/>
      <c r="AH4" s="326"/>
      <c r="AI4" s="326"/>
      <c r="AJ4" s="326"/>
      <c r="AK4" s="326"/>
      <c r="AL4" s="326"/>
      <c r="AM4" s="328">
        <f>SUM(AB4:AL4)</f>
        <v>0</v>
      </c>
      <c r="AN4" s="329"/>
      <c r="AO4" s="325">
        <v>3</v>
      </c>
    </row>
    <row r="5" spans="1:41">
      <c r="A5" s="303" t="s">
        <v>138</v>
      </c>
      <c r="B5" s="45">
        <v>4</v>
      </c>
      <c r="C5" s="12"/>
      <c r="D5" s="12"/>
      <c r="E5" s="12"/>
      <c r="F5" s="23"/>
      <c r="G5" s="24"/>
      <c r="H5" s="24"/>
      <c r="I5" s="12"/>
      <c r="J5" s="12"/>
      <c r="K5" s="12"/>
      <c r="L5" s="12"/>
      <c r="M5" s="12"/>
      <c r="N5" s="12"/>
      <c r="O5" s="259">
        <f>DATE(D2+2018,1,2)</f>
        <v>45659</v>
      </c>
      <c r="P5" s="254"/>
      <c r="Q5" s="254"/>
      <c r="R5" s="255"/>
      <c r="S5" s="254"/>
      <c r="T5" s="254"/>
      <c r="U5" s="12"/>
      <c r="V5" s="321"/>
      <c r="W5" s="321"/>
      <c r="X5" s="321"/>
      <c r="Y5" s="321"/>
      <c r="Z5" s="321"/>
      <c r="AA5" s="321"/>
      <c r="AB5" s="321"/>
      <c r="AC5" s="321"/>
      <c r="AD5" s="321"/>
      <c r="AE5" s="321"/>
      <c r="AF5" s="321"/>
      <c r="AG5" s="321"/>
      <c r="AH5" s="321"/>
      <c r="AI5" s="321"/>
      <c r="AJ5" s="321"/>
      <c r="AK5" s="321"/>
      <c r="AL5" s="321"/>
      <c r="AM5" s="321"/>
      <c r="AN5" s="321"/>
      <c r="AO5" s="321"/>
    </row>
    <row r="6" spans="1:41">
      <c r="A6" s="304" t="s">
        <v>217</v>
      </c>
      <c r="B6" s="45">
        <v>5</v>
      </c>
      <c r="C6" s="12"/>
      <c r="D6" s="12"/>
      <c r="E6" s="12"/>
      <c r="F6" s="23"/>
      <c r="G6" s="25"/>
      <c r="H6" s="25"/>
      <c r="I6" s="12"/>
      <c r="J6" s="12"/>
      <c r="K6" s="12"/>
      <c r="L6" s="12"/>
      <c r="M6" s="12"/>
      <c r="N6" s="12"/>
      <c r="O6" s="12"/>
      <c r="P6" s="12"/>
      <c r="Q6" s="12"/>
      <c r="R6" s="12"/>
      <c r="S6" s="12"/>
      <c r="T6" s="12"/>
      <c r="U6" s="12"/>
      <c r="V6" s="321"/>
      <c r="W6" s="321"/>
      <c r="X6" s="321"/>
      <c r="Y6" s="321"/>
      <c r="Z6" s="321"/>
      <c r="AA6" s="321"/>
      <c r="AB6" s="321"/>
      <c r="AC6" s="321"/>
      <c r="AD6" s="321"/>
      <c r="AE6" s="321"/>
      <c r="AF6" s="321"/>
      <c r="AG6" s="321"/>
      <c r="AH6" s="321"/>
      <c r="AI6" s="321"/>
      <c r="AJ6" s="321"/>
      <c r="AK6" s="321"/>
      <c r="AL6" s="321"/>
      <c r="AM6" s="321"/>
      <c r="AN6" s="321"/>
      <c r="AO6" s="321"/>
    </row>
    <row r="7" spans="1:41">
      <c r="A7" s="305" t="s">
        <v>152</v>
      </c>
      <c r="B7" s="78">
        <v>6</v>
      </c>
      <c r="C7" s="12"/>
      <c r="D7" s="301"/>
      <c r="E7" s="12"/>
      <c r="F7" s="23"/>
      <c r="G7" s="25"/>
      <c r="H7" s="25"/>
      <c r="I7" s="12"/>
      <c r="J7" s="12"/>
      <c r="K7" s="12"/>
      <c r="L7" s="12"/>
      <c r="M7" s="12"/>
      <c r="N7" s="12"/>
      <c r="O7" s="12"/>
      <c r="P7" s="12"/>
      <c r="Q7" s="12"/>
      <c r="R7" s="12"/>
      <c r="S7" s="12"/>
      <c r="T7" s="12"/>
      <c r="U7" s="12"/>
      <c r="V7" s="321"/>
      <c r="W7" s="321"/>
      <c r="X7" s="321"/>
      <c r="Y7" s="321"/>
      <c r="Z7" s="321"/>
      <c r="AA7" s="321"/>
      <c r="AB7" s="321"/>
      <c r="AC7" s="321"/>
      <c r="AD7" s="321"/>
      <c r="AE7" s="321"/>
      <c r="AF7" s="321"/>
      <c r="AG7" s="321"/>
      <c r="AH7" s="321"/>
      <c r="AI7" s="321"/>
      <c r="AJ7" s="321"/>
      <c r="AK7" s="321"/>
      <c r="AL7" s="321"/>
      <c r="AM7" s="321"/>
      <c r="AN7" s="321"/>
      <c r="AO7" s="321"/>
    </row>
    <row r="8" spans="1:41">
      <c r="A8" s="12"/>
      <c r="B8" s="12"/>
      <c r="C8" s="12"/>
      <c r="D8" s="12"/>
      <c r="E8" s="12"/>
      <c r="F8" s="23"/>
      <c r="G8" s="25"/>
      <c r="H8" s="25"/>
      <c r="I8" s="12"/>
      <c r="J8" s="12"/>
      <c r="K8" s="12"/>
      <c r="L8" s="12"/>
      <c r="M8" s="12"/>
      <c r="N8" s="12"/>
      <c r="O8" s="12"/>
      <c r="P8" s="12"/>
      <c r="Q8" s="12"/>
      <c r="R8" s="12"/>
      <c r="S8" s="12"/>
      <c r="T8" s="12"/>
      <c r="U8" s="12"/>
      <c r="V8" s="321"/>
      <c r="W8" s="321"/>
      <c r="X8" s="321"/>
      <c r="Y8" s="321"/>
      <c r="Z8" s="321"/>
      <c r="AA8" s="321"/>
      <c r="AB8" s="321"/>
      <c r="AC8" s="321"/>
      <c r="AD8" s="321"/>
      <c r="AE8" s="321"/>
      <c r="AF8" s="321"/>
      <c r="AG8" s="321"/>
      <c r="AH8" s="321"/>
      <c r="AI8" s="321"/>
      <c r="AJ8" s="321"/>
      <c r="AK8" s="321"/>
      <c r="AL8" s="321"/>
      <c r="AM8" s="321"/>
      <c r="AN8" s="321"/>
      <c r="AO8" s="321"/>
    </row>
    <row r="9" spans="1:41" ht="13.5" thickBot="1">
      <c r="A9" s="12" t="s">
        <v>76</v>
      </c>
      <c r="B9" s="12"/>
      <c r="C9" s="12"/>
      <c r="D9" s="12"/>
      <c r="E9" s="12"/>
      <c r="F9" s="12"/>
      <c r="G9" s="12"/>
      <c r="H9" s="12"/>
      <c r="I9" s="12"/>
      <c r="J9" s="12"/>
      <c r="K9" s="12"/>
      <c r="L9" s="12"/>
      <c r="M9" s="12"/>
      <c r="N9" s="12"/>
      <c r="O9" s="12"/>
      <c r="P9" s="12"/>
      <c r="Q9" s="12"/>
      <c r="R9" s="12"/>
      <c r="S9" s="12"/>
      <c r="T9" s="12"/>
      <c r="U9" s="12"/>
      <c r="V9" s="321"/>
      <c r="W9" s="321"/>
      <c r="X9" s="321"/>
      <c r="Y9" s="321"/>
      <c r="Z9" s="321"/>
      <c r="AA9" s="321"/>
      <c r="AB9" s="321"/>
      <c r="AC9" s="321"/>
      <c r="AD9" s="321"/>
      <c r="AE9" s="321"/>
      <c r="AF9" s="321"/>
      <c r="AG9" s="321"/>
      <c r="AH9" s="321"/>
      <c r="AI9" s="321"/>
      <c r="AJ9" s="321"/>
      <c r="AK9" s="321"/>
      <c r="AL9" s="321"/>
      <c r="AM9" s="321"/>
      <c r="AN9" s="321"/>
      <c r="AO9" s="321"/>
    </row>
    <row r="10" spans="1:41" ht="19">
      <c r="A10" s="3"/>
      <c r="B10" s="7" t="s">
        <v>122</v>
      </c>
      <c r="C10" s="268" t="s">
        <v>123</v>
      </c>
      <c r="D10" s="18" t="s">
        <v>15</v>
      </c>
      <c r="E10" s="18" t="s">
        <v>16</v>
      </c>
      <c r="F10" s="18" t="s">
        <v>17</v>
      </c>
      <c r="G10" s="18" t="s">
        <v>135</v>
      </c>
      <c r="H10" s="18" t="s">
        <v>18</v>
      </c>
      <c r="I10" s="18" t="s">
        <v>20</v>
      </c>
      <c r="J10" s="269" t="s">
        <v>19</v>
      </c>
      <c r="K10" s="270" t="s">
        <v>116</v>
      </c>
      <c r="L10" s="172" t="s">
        <v>57</v>
      </c>
      <c r="M10" s="18" t="s">
        <v>58</v>
      </c>
      <c r="N10" s="18" t="s">
        <v>74</v>
      </c>
      <c r="O10" s="18" t="s">
        <v>62</v>
      </c>
      <c r="P10" s="18" t="s">
        <v>72</v>
      </c>
      <c r="Q10" s="168" t="s">
        <v>196</v>
      </c>
      <c r="R10" s="269" t="s">
        <v>73</v>
      </c>
      <c r="S10" s="271" t="s">
        <v>125</v>
      </c>
      <c r="T10" s="242" t="s">
        <v>176</v>
      </c>
      <c r="U10" s="12"/>
      <c r="V10" s="321"/>
      <c r="W10" s="321"/>
      <c r="X10" s="321"/>
      <c r="Y10" s="321"/>
      <c r="Z10" s="321"/>
      <c r="AA10" s="321"/>
      <c r="AB10" s="321"/>
      <c r="AC10" s="321"/>
      <c r="AD10" s="321"/>
      <c r="AE10" s="321"/>
      <c r="AF10" s="321"/>
      <c r="AG10" s="321"/>
      <c r="AH10" s="321"/>
      <c r="AI10" s="321"/>
      <c r="AJ10" s="321"/>
      <c r="AK10" s="321"/>
      <c r="AL10" s="321"/>
      <c r="AM10" s="321"/>
      <c r="AN10" s="321"/>
      <c r="AO10" s="321"/>
    </row>
    <row r="11" spans="1:41">
      <c r="A11" s="265" t="s">
        <v>32</v>
      </c>
      <c r="B11" s="278">
        <v>1</v>
      </c>
      <c r="C11" s="309" t="b">
        <v>0</v>
      </c>
      <c r="D11" s="47">
        <f t="shared" ref="D11:D16" si="0">IF(OR(B11=1,B11=5,B11=6),0,1)</f>
        <v>0</v>
      </c>
      <c r="E11" s="47">
        <f t="shared" ref="E11:E16" si="1">IF(B11=3,1,0)</f>
        <v>0</v>
      </c>
      <c r="F11" s="48">
        <f>IF(OR(B11=1,B11=5,B11=6,M11+O11+P11&lt;0),0,M11+O11+P11)</f>
        <v>0</v>
      </c>
      <c r="G11" s="48">
        <f>VLOOKUP(F11,$K$20:$L$23,2,TRUE)</f>
        <v>430000</v>
      </c>
      <c r="H11" s="48">
        <f>IF(F11&lt;=$G$11,0,F11-$G$11)</f>
        <v>0</v>
      </c>
      <c r="I11" s="48">
        <f t="shared" ref="I11:I16" si="2">IF(D11=1,H11,0)</f>
        <v>0</v>
      </c>
      <c r="J11" s="49">
        <f t="shared" ref="J11:J16" si="3">IF(E11=1,H11,0)</f>
        <v>0</v>
      </c>
      <c r="K11" s="338"/>
      <c r="L11" s="50">
        <f>計算!F12</f>
        <v>0</v>
      </c>
      <c r="M11" s="51">
        <f>C53</f>
        <v>0</v>
      </c>
      <c r="N11" s="51">
        <f>計算!H12</f>
        <v>0</v>
      </c>
      <c r="O11" s="51">
        <f>C71</f>
        <v>0</v>
      </c>
      <c r="P11" s="51">
        <f>計算!J12</f>
        <v>0</v>
      </c>
      <c r="Q11" s="51">
        <f>IF((J53+P11)&lt;0,0,J53+P11)</f>
        <v>0</v>
      </c>
      <c r="R11" s="345">
        <f>IF(D53+B76+P11+S11&lt;0,0,D53+B76+P11+S11)</f>
        <v>0</v>
      </c>
      <c r="S11" s="290">
        <v>0</v>
      </c>
      <c r="T11" s="335" t="b">
        <v>0</v>
      </c>
      <c r="U11" s="12"/>
      <c r="V11" s="321"/>
      <c r="W11" s="321"/>
      <c r="X11" s="321"/>
      <c r="Y11" s="321"/>
      <c r="Z11" s="321"/>
      <c r="AA11" s="321"/>
      <c r="AB11" s="321"/>
      <c r="AC11" s="321"/>
      <c r="AD11" s="321"/>
      <c r="AE11" s="321"/>
      <c r="AF11" s="321"/>
      <c r="AG11" s="321"/>
      <c r="AH11" s="321"/>
      <c r="AI11" s="321"/>
      <c r="AJ11" s="321"/>
      <c r="AK11" s="321"/>
      <c r="AL11" s="321"/>
      <c r="AM11" s="321"/>
      <c r="AN11" s="321"/>
      <c r="AO11" s="321"/>
    </row>
    <row r="12" spans="1:41">
      <c r="A12" s="266" t="s">
        <v>33</v>
      </c>
      <c r="B12" s="279">
        <v>1</v>
      </c>
      <c r="C12" s="310" t="b">
        <v>0</v>
      </c>
      <c r="D12" s="52">
        <f t="shared" si="0"/>
        <v>0</v>
      </c>
      <c r="E12" s="52">
        <f t="shared" si="1"/>
        <v>0</v>
      </c>
      <c r="F12" s="53">
        <f t="shared" ref="F12:F16" si="4">IF(OR(B12=1,B12=5,B12=6,M12+O12+P12&lt;0),0,M12+O12+P12)</f>
        <v>0</v>
      </c>
      <c r="G12" s="53">
        <f t="shared" ref="G12:G16" si="5">VLOOKUP(F12,$K$20:$L$23,2,TRUE)</f>
        <v>430000</v>
      </c>
      <c r="H12" s="53">
        <f>IF(F12&lt;=$G$12,0,F12-$G$12)</f>
        <v>0</v>
      </c>
      <c r="I12" s="53">
        <f t="shared" si="2"/>
        <v>0</v>
      </c>
      <c r="J12" s="54">
        <f t="shared" si="3"/>
        <v>0</v>
      </c>
      <c r="K12" s="339"/>
      <c r="L12" s="55">
        <f>計算!F14</f>
        <v>0</v>
      </c>
      <c r="M12" s="56">
        <f t="shared" ref="M12:M16" si="6">C54</f>
        <v>0</v>
      </c>
      <c r="N12" s="56">
        <f>計算!H14</f>
        <v>0</v>
      </c>
      <c r="O12" s="56">
        <f>C80</f>
        <v>0</v>
      </c>
      <c r="P12" s="56">
        <f>計算!J14</f>
        <v>0</v>
      </c>
      <c r="Q12" s="56">
        <f t="shared" ref="Q12:Q16" si="7">IF((J54+P12)&lt;0,0,J54+P12)</f>
        <v>0</v>
      </c>
      <c r="R12" s="346">
        <f>IF(D54+B85+P12+S12&lt;0,0,D54+B85+P12+S12)</f>
        <v>0</v>
      </c>
      <c r="S12" s="291">
        <v>0</v>
      </c>
      <c r="T12" s="336" t="b">
        <v>0</v>
      </c>
      <c r="U12" s="12"/>
      <c r="V12" s="321"/>
      <c r="W12" s="321"/>
      <c r="X12" s="321"/>
      <c r="Y12" s="321"/>
      <c r="Z12" s="321"/>
      <c r="AA12" s="321"/>
      <c r="AB12" s="321"/>
      <c r="AC12" s="321"/>
      <c r="AD12" s="321"/>
      <c r="AE12" s="321"/>
      <c r="AF12" s="321"/>
      <c r="AG12" s="321"/>
      <c r="AH12" s="321"/>
      <c r="AI12" s="321"/>
      <c r="AJ12" s="321"/>
      <c r="AK12" s="321"/>
      <c r="AL12" s="321"/>
      <c r="AM12" s="321"/>
      <c r="AN12" s="321"/>
      <c r="AO12" s="321"/>
    </row>
    <row r="13" spans="1:41">
      <c r="A13" s="266" t="s">
        <v>34</v>
      </c>
      <c r="B13" s="279">
        <v>1</v>
      </c>
      <c r="C13" s="310" t="b">
        <v>0</v>
      </c>
      <c r="D13" s="52">
        <f t="shared" si="0"/>
        <v>0</v>
      </c>
      <c r="E13" s="52">
        <f t="shared" si="1"/>
        <v>0</v>
      </c>
      <c r="F13" s="53">
        <f t="shared" si="4"/>
        <v>0</v>
      </c>
      <c r="G13" s="53">
        <f t="shared" si="5"/>
        <v>430000</v>
      </c>
      <c r="H13" s="53">
        <f>IF(F13&lt;=$G$13,0,F13-$G$13)</f>
        <v>0</v>
      </c>
      <c r="I13" s="53">
        <f t="shared" si="2"/>
        <v>0</v>
      </c>
      <c r="J13" s="54">
        <f t="shared" si="3"/>
        <v>0</v>
      </c>
      <c r="K13" s="339"/>
      <c r="L13" s="55">
        <f>計算!F16</f>
        <v>0</v>
      </c>
      <c r="M13" s="56">
        <f t="shared" si="6"/>
        <v>0</v>
      </c>
      <c r="N13" s="56">
        <f>計算!H16</f>
        <v>0</v>
      </c>
      <c r="O13" s="56">
        <f>C89</f>
        <v>0</v>
      </c>
      <c r="P13" s="56">
        <f>計算!J16</f>
        <v>0</v>
      </c>
      <c r="Q13" s="56">
        <f t="shared" si="7"/>
        <v>0</v>
      </c>
      <c r="R13" s="346">
        <f>IF(D55+B94+P13+S13&lt;0,0,D55+B94+P13+S13)</f>
        <v>0</v>
      </c>
      <c r="S13" s="291">
        <v>0</v>
      </c>
      <c r="T13" s="336" t="b">
        <v>0</v>
      </c>
      <c r="U13" s="12"/>
      <c r="V13" s="321"/>
      <c r="W13" s="321"/>
      <c r="X13" s="321"/>
      <c r="Y13" s="321"/>
      <c r="Z13" s="321"/>
      <c r="AA13" s="321"/>
      <c r="AB13" s="321"/>
      <c r="AC13" s="321"/>
      <c r="AD13" s="321"/>
      <c r="AE13" s="321"/>
      <c r="AF13" s="321"/>
      <c r="AG13" s="321"/>
      <c r="AH13" s="321"/>
      <c r="AI13" s="321"/>
      <c r="AJ13" s="321"/>
      <c r="AK13" s="321"/>
      <c r="AL13" s="321"/>
      <c r="AM13" s="321"/>
      <c r="AN13" s="321"/>
      <c r="AO13" s="321"/>
    </row>
    <row r="14" spans="1:41">
      <c r="A14" s="266" t="s">
        <v>35</v>
      </c>
      <c r="B14" s="279">
        <v>1</v>
      </c>
      <c r="C14" s="310" t="b">
        <v>0</v>
      </c>
      <c r="D14" s="52">
        <f t="shared" si="0"/>
        <v>0</v>
      </c>
      <c r="E14" s="52">
        <f t="shared" si="1"/>
        <v>0</v>
      </c>
      <c r="F14" s="53">
        <f t="shared" si="4"/>
        <v>0</v>
      </c>
      <c r="G14" s="53">
        <f t="shared" si="5"/>
        <v>430000</v>
      </c>
      <c r="H14" s="53">
        <f>IF(F14&lt;=$G$14,0,F14-$G$14)</f>
        <v>0</v>
      </c>
      <c r="I14" s="53">
        <f t="shared" si="2"/>
        <v>0</v>
      </c>
      <c r="J14" s="54">
        <f t="shared" si="3"/>
        <v>0</v>
      </c>
      <c r="K14" s="339"/>
      <c r="L14" s="55">
        <f>計算!F18</f>
        <v>0</v>
      </c>
      <c r="M14" s="56">
        <f t="shared" si="6"/>
        <v>0</v>
      </c>
      <c r="N14" s="56">
        <f>計算!H18</f>
        <v>0</v>
      </c>
      <c r="O14" s="56">
        <f>C98</f>
        <v>0</v>
      </c>
      <c r="P14" s="56">
        <f>計算!J18</f>
        <v>0</v>
      </c>
      <c r="Q14" s="56">
        <f t="shared" si="7"/>
        <v>0</v>
      </c>
      <c r="R14" s="346">
        <f>IF(D56+B103+P14+S14&lt;0,0,D56+B103+P14+S14)</f>
        <v>0</v>
      </c>
      <c r="S14" s="291">
        <v>0</v>
      </c>
      <c r="T14" s="336" t="b">
        <v>0</v>
      </c>
      <c r="U14" s="12"/>
      <c r="V14" s="321"/>
      <c r="W14" s="321"/>
      <c r="X14" s="321"/>
      <c r="Y14" s="321"/>
      <c r="Z14" s="321"/>
      <c r="AA14" s="321"/>
      <c r="AB14" s="321"/>
      <c r="AC14" s="321"/>
      <c r="AD14" s="321"/>
      <c r="AE14" s="321"/>
      <c r="AF14" s="321"/>
      <c r="AG14" s="321"/>
      <c r="AH14" s="321"/>
      <c r="AI14" s="321"/>
      <c r="AJ14" s="321"/>
      <c r="AK14" s="321"/>
      <c r="AL14" s="321"/>
      <c r="AM14" s="321"/>
      <c r="AN14" s="321"/>
      <c r="AO14" s="321"/>
    </row>
    <row r="15" spans="1:41">
      <c r="A15" s="266" t="s">
        <v>36</v>
      </c>
      <c r="B15" s="279">
        <v>1</v>
      </c>
      <c r="C15" s="310" t="b">
        <v>0</v>
      </c>
      <c r="D15" s="52">
        <f t="shared" si="0"/>
        <v>0</v>
      </c>
      <c r="E15" s="52">
        <f t="shared" si="1"/>
        <v>0</v>
      </c>
      <c r="F15" s="53">
        <f t="shared" si="4"/>
        <v>0</v>
      </c>
      <c r="G15" s="53">
        <f t="shared" si="5"/>
        <v>430000</v>
      </c>
      <c r="H15" s="53">
        <f>IF(F15&lt;=$G$15,0,F15-$G$15)</f>
        <v>0</v>
      </c>
      <c r="I15" s="53">
        <f t="shared" si="2"/>
        <v>0</v>
      </c>
      <c r="J15" s="54">
        <f t="shared" si="3"/>
        <v>0</v>
      </c>
      <c r="K15" s="339"/>
      <c r="L15" s="55">
        <f>計算!F20</f>
        <v>0</v>
      </c>
      <c r="M15" s="56">
        <f t="shared" si="6"/>
        <v>0</v>
      </c>
      <c r="N15" s="56">
        <f>計算!H20</f>
        <v>0</v>
      </c>
      <c r="O15" s="56">
        <f>C107</f>
        <v>0</v>
      </c>
      <c r="P15" s="56">
        <f>計算!J20</f>
        <v>0</v>
      </c>
      <c r="Q15" s="56">
        <f t="shared" si="7"/>
        <v>0</v>
      </c>
      <c r="R15" s="346">
        <f>IF(D57+B112+P15+S15&lt;0,0,D57+B112+P15+S15)</f>
        <v>0</v>
      </c>
      <c r="S15" s="291">
        <v>0</v>
      </c>
      <c r="T15" s="336" t="b">
        <v>0</v>
      </c>
      <c r="U15" s="12"/>
      <c r="V15" s="321"/>
      <c r="W15" s="321"/>
      <c r="X15" s="321"/>
      <c r="Y15" s="321"/>
      <c r="Z15" s="321"/>
      <c r="AA15" s="321"/>
      <c r="AB15" s="321"/>
      <c r="AC15" s="321"/>
      <c r="AD15" s="321"/>
      <c r="AE15" s="321"/>
      <c r="AF15" s="321"/>
      <c r="AG15" s="321"/>
      <c r="AH15" s="321"/>
      <c r="AI15" s="321"/>
      <c r="AJ15" s="321"/>
      <c r="AK15" s="321"/>
      <c r="AL15" s="321"/>
      <c r="AM15" s="321"/>
      <c r="AN15" s="321"/>
      <c r="AO15" s="321"/>
    </row>
    <row r="16" spans="1:41">
      <c r="A16" s="267" t="s">
        <v>37</v>
      </c>
      <c r="B16" s="280">
        <v>1</v>
      </c>
      <c r="C16" s="311" t="b">
        <v>0</v>
      </c>
      <c r="D16" s="57">
        <f t="shared" si="0"/>
        <v>0</v>
      </c>
      <c r="E16" s="57">
        <f t="shared" si="1"/>
        <v>0</v>
      </c>
      <c r="F16" s="58">
        <f t="shared" si="4"/>
        <v>0</v>
      </c>
      <c r="G16" s="58">
        <f t="shared" si="5"/>
        <v>430000</v>
      </c>
      <c r="H16" s="58">
        <f>IF(F16&lt;=$G$16,0,F16-$G$16)</f>
        <v>0</v>
      </c>
      <c r="I16" s="58">
        <f t="shared" si="2"/>
        <v>0</v>
      </c>
      <c r="J16" s="59">
        <f t="shared" si="3"/>
        <v>0</v>
      </c>
      <c r="K16" s="340"/>
      <c r="L16" s="60">
        <f>計算!F22</f>
        <v>0</v>
      </c>
      <c r="M16" s="61">
        <f t="shared" si="6"/>
        <v>0</v>
      </c>
      <c r="N16" s="61">
        <f>計算!H22</f>
        <v>0</v>
      </c>
      <c r="O16" s="61">
        <f>C116</f>
        <v>0</v>
      </c>
      <c r="P16" s="61">
        <f>計算!J22</f>
        <v>0</v>
      </c>
      <c r="Q16" s="61">
        <f t="shared" si="7"/>
        <v>0</v>
      </c>
      <c r="R16" s="347">
        <f>IF(D58+B121+P16+S16&lt;0,0,D58+B121+P16+S16)</f>
        <v>0</v>
      </c>
      <c r="S16" s="292">
        <v>0</v>
      </c>
      <c r="T16" s="337" t="b">
        <v>0</v>
      </c>
      <c r="U16" s="12"/>
      <c r="V16" s="321"/>
      <c r="W16" s="321"/>
      <c r="X16" s="321"/>
      <c r="Y16" s="321"/>
      <c r="Z16" s="321"/>
      <c r="AA16" s="321"/>
      <c r="AB16" s="321"/>
      <c r="AC16" s="321"/>
      <c r="AD16" s="321"/>
      <c r="AE16" s="321"/>
      <c r="AF16" s="321"/>
      <c r="AG16" s="321"/>
      <c r="AH16" s="321"/>
      <c r="AI16" s="321"/>
      <c r="AJ16" s="321"/>
      <c r="AK16" s="321"/>
      <c r="AL16" s="321"/>
      <c r="AM16" s="321"/>
      <c r="AN16" s="321"/>
      <c r="AO16" s="321"/>
    </row>
    <row r="17" spans="1:41" ht="13.5" thickBot="1">
      <c r="A17" s="264" t="s">
        <v>38</v>
      </c>
      <c r="B17" s="5"/>
      <c r="C17" s="5"/>
      <c r="D17" s="189">
        <f>SUM(D11:D16)+F27</f>
        <v>0</v>
      </c>
      <c r="E17" s="5">
        <f>SUM(E11:E16)+G27</f>
        <v>0</v>
      </c>
      <c r="F17" s="9">
        <f>SUM(F11:F16)</f>
        <v>0</v>
      </c>
      <c r="G17" s="9"/>
      <c r="H17" s="9">
        <f t="shared" ref="H17:J17" si="8">SUM(H11:H16)</f>
        <v>0</v>
      </c>
      <c r="I17" s="9">
        <f t="shared" si="8"/>
        <v>0</v>
      </c>
      <c r="J17" s="14">
        <f t="shared" si="8"/>
        <v>0</v>
      </c>
      <c r="K17" s="16"/>
      <c r="L17" s="15"/>
      <c r="M17" s="5"/>
      <c r="N17" s="5"/>
      <c r="O17" s="5"/>
      <c r="P17" s="5"/>
      <c r="Q17" s="167"/>
      <c r="R17" s="348">
        <f>SUM(R11:R16)</f>
        <v>0</v>
      </c>
      <c r="S17" s="272"/>
      <c r="T17" s="273">
        <f>H11*T11+H12*T12+H13*T13+H14*T14+H15*T15+H16*T16</f>
        <v>0</v>
      </c>
      <c r="U17" s="12"/>
      <c r="V17" s="321"/>
      <c r="W17" s="321"/>
      <c r="X17" s="321"/>
      <c r="Y17" s="321"/>
      <c r="Z17" s="321"/>
      <c r="AA17" s="321"/>
      <c r="AB17" s="321"/>
      <c r="AC17" s="321"/>
      <c r="AD17" s="321"/>
      <c r="AE17" s="321"/>
      <c r="AF17" s="321"/>
      <c r="AG17" s="321"/>
      <c r="AH17" s="321"/>
      <c r="AI17" s="321"/>
      <c r="AJ17" s="321"/>
      <c r="AK17" s="321"/>
      <c r="AL17" s="321"/>
      <c r="AM17" s="321"/>
      <c r="AN17" s="321"/>
      <c r="AO17" s="321"/>
    </row>
    <row r="18" spans="1:41">
      <c r="A18" s="12"/>
      <c r="B18" s="12"/>
      <c r="C18" s="12"/>
      <c r="D18" s="12"/>
      <c r="E18" s="12"/>
      <c r="F18" s="12"/>
      <c r="G18" s="12"/>
      <c r="H18" s="12"/>
      <c r="I18" s="12"/>
      <c r="J18" s="12"/>
      <c r="K18" s="12"/>
      <c r="L18" s="12"/>
      <c r="M18" s="12"/>
      <c r="N18" s="12"/>
      <c r="O18" s="12"/>
      <c r="P18" s="12"/>
      <c r="Q18" s="12"/>
      <c r="R18" s="12"/>
      <c r="S18" s="12"/>
      <c r="T18" s="12"/>
      <c r="U18" s="12"/>
      <c r="V18" s="321"/>
      <c r="W18" s="321"/>
      <c r="X18" s="321"/>
      <c r="Y18" s="321"/>
      <c r="Z18" s="321"/>
      <c r="AA18" s="321"/>
      <c r="AB18" s="321"/>
      <c r="AC18" s="321"/>
      <c r="AD18" s="321"/>
      <c r="AE18" s="321"/>
      <c r="AF18" s="321"/>
      <c r="AG18" s="321"/>
      <c r="AH18" s="321"/>
      <c r="AI18" s="321"/>
      <c r="AJ18" s="321"/>
      <c r="AK18" s="321"/>
      <c r="AL18" s="321"/>
      <c r="AM18" s="321"/>
      <c r="AN18" s="321"/>
      <c r="AO18" s="321"/>
    </row>
    <row r="19" spans="1:41" ht="19">
      <c r="A19" s="12" t="s">
        <v>153</v>
      </c>
      <c r="B19" s="12"/>
      <c r="C19" s="12"/>
      <c r="D19" s="12"/>
      <c r="E19" s="12" t="s">
        <v>75</v>
      </c>
      <c r="F19" s="12"/>
      <c r="G19" s="12"/>
      <c r="H19" s="12"/>
      <c r="I19" s="12"/>
      <c r="J19" s="12"/>
      <c r="K19" s="12" t="s">
        <v>135</v>
      </c>
      <c r="L19" s="12"/>
      <c r="M19" s="12"/>
      <c r="N19" s="2" t="s">
        <v>163</v>
      </c>
      <c r="O19" s="261" t="s">
        <v>174</v>
      </c>
      <c r="P19" s="261" t="s">
        <v>172</v>
      </c>
      <c r="Q19" s="263" t="s">
        <v>199</v>
      </c>
      <c r="R19" s="261" t="s">
        <v>170</v>
      </c>
      <c r="S19" s="12"/>
      <c r="T19" s="2" t="s">
        <v>163</v>
      </c>
      <c r="U19" s="2" t="s">
        <v>175</v>
      </c>
      <c r="V19" s="321"/>
      <c r="W19" s="321"/>
      <c r="X19" s="321"/>
      <c r="Y19" s="321"/>
      <c r="Z19" s="321"/>
      <c r="AA19" s="321"/>
      <c r="AB19" s="321"/>
      <c r="AC19" s="321"/>
      <c r="AD19" s="321"/>
      <c r="AE19" s="321"/>
      <c r="AF19" s="321"/>
      <c r="AG19" s="321"/>
      <c r="AH19" s="321"/>
      <c r="AI19" s="321"/>
      <c r="AJ19" s="321"/>
      <c r="AK19" s="321"/>
      <c r="AL19" s="321"/>
      <c r="AM19" s="321"/>
      <c r="AN19" s="321"/>
      <c r="AO19" s="321"/>
    </row>
    <row r="20" spans="1:41">
      <c r="A20" s="11" t="s">
        <v>24</v>
      </c>
      <c r="B20" s="3" t="s">
        <v>28</v>
      </c>
      <c r="C20" s="2" t="s">
        <v>26</v>
      </c>
      <c r="D20" s="12"/>
      <c r="E20" s="5"/>
      <c r="F20" s="2" t="s">
        <v>10</v>
      </c>
      <c r="G20" s="2" t="s">
        <v>13</v>
      </c>
      <c r="H20" s="2" t="s">
        <v>30</v>
      </c>
      <c r="I20" s="2" t="s">
        <v>31</v>
      </c>
      <c r="J20" s="12"/>
      <c r="K20" s="188">
        <v>0</v>
      </c>
      <c r="L20" s="188">
        <v>430000</v>
      </c>
      <c r="M20" s="12"/>
      <c r="N20" s="264" t="s">
        <v>164</v>
      </c>
      <c r="O20" s="17" t="str">
        <f>IF(計算!D13&lt;&gt;"",IF((DATEDIF(計算!D13,O3,"m")&gt;899),DATEDIF(計算!D13,O3-1,"y"),DATEDIF(計算!D13,O3,"y")),"")</f>
        <v/>
      </c>
      <c r="P20" s="17">
        <f>IF(計算!D13="",1,VLOOKUP(O20,T$20:U$23,2,TRUE))</f>
        <v>1</v>
      </c>
      <c r="Q20" s="262" t="s">
        <v>200</v>
      </c>
      <c r="R20" s="17">
        <f>DATEDIF(計算!D13,表!O$5-1,"y")</f>
        <v>125</v>
      </c>
      <c r="S20" s="12"/>
      <c r="T20" s="17">
        <v>0</v>
      </c>
      <c r="U20" s="17">
        <v>2</v>
      </c>
      <c r="V20" s="321"/>
      <c r="W20" s="321"/>
      <c r="X20" s="321"/>
      <c r="Y20" s="321"/>
      <c r="Z20" s="321"/>
      <c r="AA20" s="321"/>
      <c r="AB20" s="321"/>
      <c r="AC20" s="321"/>
      <c r="AD20" s="321"/>
      <c r="AE20" s="321"/>
      <c r="AF20" s="321"/>
      <c r="AG20" s="321"/>
      <c r="AH20" s="321"/>
      <c r="AI20" s="321"/>
      <c r="AJ20" s="321"/>
      <c r="AK20" s="321"/>
      <c r="AL20" s="321"/>
      <c r="AM20" s="321"/>
      <c r="AN20" s="321"/>
      <c r="AO20" s="321"/>
    </row>
    <row r="21" spans="1:41" ht="13.5" thickBot="1">
      <c r="A21" s="6">
        <f>R17</f>
        <v>0</v>
      </c>
      <c r="B21" s="4">
        <f>IF(B22="自動",VLOOKUP(A21,A26:B29,2,TRUE),B22)</f>
        <v>0.7</v>
      </c>
      <c r="C21" s="289" t="str">
        <f>VLOOKUP(B21,B26:C29,2,FALSE)</f>
        <v>7割軽減</v>
      </c>
      <c r="D21" s="12"/>
      <c r="E21" s="2" t="s">
        <v>9</v>
      </c>
      <c r="F21" s="62">
        <f>IF(D17&lt;1,0,C41*(D17-J33)+C42*J33-D49)</f>
        <v>0</v>
      </c>
      <c r="G21" s="63">
        <f>IF(D17&lt;1,0,VLOOKUP(F34,G37:I48,3,FALSE))</f>
        <v>0</v>
      </c>
      <c r="H21" s="48">
        <f>INT((I17-T17)*H2)</f>
        <v>0</v>
      </c>
      <c r="I21" s="62">
        <f>IF(SUM(F21:H21)&gt;I2,I2,SUM(F21:H21))</f>
        <v>0</v>
      </c>
      <c r="J21" s="12"/>
      <c r="K21" s="188">
        <v>24000001</v>
      </c>
      <c r="L21" s="188">
        <v>290000</v>
      </c>
      <c r="M21" s="12"/>
      <c r="N21" s="264" t="s">
        <v>165</v>
      </c>
      <c r="O21" s="17" t="str">
        <f>IF(計算!D15&lt;&gt;"",IF((DATEDIF(計算!D15,O3,"m")&gt;899),DATEDIF(計算!D15,O3-1,"y"),DATEDIF(計算!D15,O3,"y")),"")</f>
        <v/>
      </c>
      <c r="P21" s="17">
        <f>IF(計算!D15="",1,VLOOKUP(O21,T$20:U$23,2,TRUE))</f>
        <v>1</v>
      </c>
      <c r="Q21" s="262" t="s">
        <v>201</v>
      </c>
      <c r="R21" s="17">
        <f>DATEDIF(計算!D15,表!O$5-1,"y")</f>
        <v>125</v>
      </c>
      <c r="S21" s="12"/>
      <c r="T21" s="17">
        <v>40</v>
      </c>
      <c r="U21" s="17">
        <v>3</v>
      </c>
      <c r="V21" s="321"/>
      <c r="W21" s="321"/>
      <c r="X21" s="321"/>
      <c r="Y21" s="321"/>
      <c r="Z21" s="321"/>
      <c r="AA21" s="321"/>
      <c r="AB21" s="321"/>
      <c r="AC21" s="321"/>
      <c r="AD21" s="321"/>
      <c r="AE21" s="321"/>
      <c r="AF21" s="321"/>
      <c r="AG21" s="321"/>
      <c r="AH21" s="321"/>
      <c r="AI21" s="321"/>
      <c r="AJ21" s="321"/>
      <c r="AK21" s="321"/>
      <c r="AL21" s="321"/>
      <c r="AM21" s="321"/>
      <c r="AN21" s="321"/>
      <c r="AO21" s="321"/>
    </row>
    <row r="22" spans="1:41" ht="13.5" thickBot="1">
      <c r="A22" s="7" t="s">
        <v>65</v>
      </c>
      <c r="B22" s="13" t="str">
        <f>IF(C22="7割軽減",0.7,IF(C22="5割軽減",0.5,IF(C22="2割軽減",0.2,IF(C22="非該当",0,"自動"))))</f>
        <v>自動</v>
      </c>
      <c r="C22" s="312" t="s">
        <v>213</v>
      </c>
      <c r="D22" s="12"/>
      <c r="E22" s="2" t="s">
        <v>12</v>
      </c>
      <c r="F22" s="64">
        <f>IF(D17&lt;1,0,D41*(D17-J33)+D42*J33-E49)</f>
        <v>0</v>
      </c>
      <c r="G22" s="65">
        <f>IF(D17&lt;1,0,VLOOKUP(F34,G37:J48,4,FALSE))</f>
        <v>0</v>
      </c>
      <c r="H22" s="53">
        <f>INT((I17-T17)*H3)</f>
        <v>0</v>
      </c>
      <c r="I22" s="64">
        <f>IF(SUM(F22:H22)&gt;I3,I3,SUM(F22:H22))</f>
        <v>0</v>
      </c>
      <c r="J22" s="12"/>
      <c r="K22" s="188">
        <v>24500001</v>
      </c>
      <c r="L22" s="188">
        <v>150000</v>
      </c>
      <c r="M22" s="12"/>
      <c r="N22" s="264" t="s">
        <v>166</v>
      </c>
      <c r="O22" s="17" t="str">
        <f>IF(計算!D17&lt;&gt;"",IF((DATEDIF(計算!D17,O3,"m")&gt;899),DATEDIF(計算!D17,O3-1,"y"),DATEDIF(計算!D17,O3,"y")),"")</f>
        <v/>
      </c>
      <c r="P22" s="17">
        <f>IF(計算!D17="",1,VLOOKUP(O22,T$20:U$23,2,TRUE))</f>
        <v>1</v>
      </c>
      <c r="Q22" s="262" t="s">
        <v>200</v>
      </c>
      <c r="R22" s="17">
        <f>DATEDIF(計算!D17,表!O$5-1,"y")</f>
        <v>125</v>
      </c>
      <c r="S22" s="12"/>
      <c r="T22" s="17">
        <v>65</v>
      </c>
      <c r="U22" s="17">
        <v>4</v>
      </c>
      <c r="V22" s="321"/>
      <c r="W22" s="321"/>
      <c r="X22" s="321"/>
      <c r="Y22" s="321"/>
      <c r="Z22" s="321"/>
      <c r="AA22" s="321"/>
      <c r="AB22" s="321"/>
      <c r="AC22" s="321"/>
      <c r="AD22" s="321"/>
      <c r="AE22" s="321"/>
      <c r="AF22" s="321"/>
      <c r="AG22" s="321"/>
      <c r="AH22" s="321"/>
      <c r="AI22" s="321"/>
      <c r="AJ22" s="321"/>
      <c r="AK22" s="321"/>
      <c r="AL22" s="321"/>
      <c r="AM22" s="321"/>
      <c r="AN22" s="321"/>
      <c r="AO22" s="321"/>
    </row>
    <row r="23" spans="1:41">
      <c r="A23" s="12"/>
      <c r="B23" s="12"/>
      <c r="C23" s="12"/>
      <c r="D23" s="12"/>
      <c r="E23" s="2" t="s">
        <v>11</v>
      </c>
      <c r="F23" s="58">
        <f>(F4-ROUNDUP(F4*B$21,0))*E17</f>
        <v>0</v>
      </c>
      <c r="G23" s="66">
        <f>IF(E17&gt;0,G4-ROUNDUP(G4*B$21,0),0)</f>
        <v>0</v>
      </c>
      <c r="H23" s="58">
        <f>INT(J17*H4)</f>
        <v>0</v>
      </c>
      <c r="I23" s="67">
        <f>IF(SUM(F23:H23)&gt;I4,I4,SUM(F23:H23))</f>
        <v>0</v>
      </c>
      <c r="J23" s="12"/>
      <c r="K23" s="188">
        <v>25000001</v>
      </c>
      <c r="L23" s="188">
        <v>0</v>
      </c>
      <c r="M23" s="12"/>
      <c r="N23" s="264" t="s">
        <v>167</v>
      </c>
      <c r="O23" s="17" t="str">
        <f>IF(計算!D19&lt;&gt;"",IF((DATEDIF(計算!D19,O3,"m")&gt;899),DATEDIF(計算!D19,O3-1,"y"),DATEDIF(計算!D19,O3,"y")),"")</f>
        <v/>
      </c>
      <c r="P23" s="17">
        <f>IF(計算!D19="",1,VLOOKUP(O23,T$20:U$23,2,TRUE))</f>
        <v>1</v>
      </c>
      <c r="Q23" s="262" t="s">
        <v>200</v>
      </c>
      <c r="R23" s="17">
        <f>DATEDIF(計算!D19,表!O$5-1,"y")</f>
        <v>125</v>
      </c>
      <c r="S23" s="12"/>
      <c r="T23" s="17">
        <v>75</v>
      </c>
      <c r="U23" s="17">
        <v>5</v>
      </c>
      <c r="V23" s="321"/>
      <c r="W23" s="321"/>
      <c r="X23" s="321"/>
      <c r="Y23" s="321"/>
      <c r="Z23" s="321"/>
      <c r="AA23" s="321"/>
      <c r="AB23" s="321"/>
      <c r="AC23" s="321"/>
      <c r="AD23" s="321"/>
      <c r="AE23" s="321"/>
      <c r="AF23" s="321"/>
      <c r="AG23" s="321"/>
      <c r="AH23" s="321"/>
      <c r="AI23" s="321"/>
      <c r="AJ23" s="321"/>
      <c r="AK23" s="321"/>
      <c r="AL23" s="321"/>
      <c r="AM23" s="321"/>
      <c r="AN23" s="321"/>
      <c r="AO23" s="321"/>
    </row>
    <row r="24" spans="1:41">
      <c r="A24" s="12" t="s">
        <v>78</v>
      </c>
      <c r="B24" s="12"/>
      <c r="C24" s="12"/>
      <c r="D24" s="12"/>
      <c r="E24" s="12"/>
      <c r="F24" s="12"/>
      <c r="G24" s="12"/>
      <c r="H24" s="12"/>
      <c r="I24" s="10">
        <f>SUM(I21:I23)</f>
        <v>0</v>
      </c>
      <c r="J24" s="12"/>
      <c r="K24" s="12"/>
      <c r="L24" s="12"/>
      <c r="M24" s="12"/>
      <c r="N24" s="264" t="s">
        <v>168</v>
      </c>
      <c r="O24" s="17" t="str">
        <f>IF(計算!D21&lt;&gt;"",IF((DATEDIF(計算!D21,O3,"m")&gt;899),DATEDIF(計算!D21,O3-1,"y"),DATEDIF(計算!D21,O3,"y")),"")</f>
        <v/>
      </c>
      <c r="P24" s="17">
        <f>IF(計算!D21="",1,VLOOKUP(O24,T$20:U$23,2,TRUE))</f>
        <v>1</v>
      </c>
      <c r="Q24" s="262" t="s">
        <v>200</v>
      </c>
      <c r="R24" s="17">
        <f>DATEDIF(計算!D21,表!O$5-1,"y")</f>
        <v>125</v>
      </c>
      <c r="S24" s="12"/>
      <c r="T24" s="12"/>
      <c r="U24" s="12"/>
      <c r="V24" s="321"/>
      <c r="W24" s="321"/>
      <c r="X24" s="321"/>
      <c r="Y24" s="321"/>
      <c r="Z24" s="321"/>
      <c r="AA24" s="321"/>
      <c r="AB24" s="321"/>
      <c r="AC24" s="321"/>
      <c r="AD24" s="321"/>
      <c r="AE24" s="321"/>
      <c r="AF24" s="321"/>
      <c r="AG24" s="321"/>
      <c r="AH24" s="321"/>
      <c r="AI24" s="321"/>
      <c r="AJ24" s="321"/>
      <c r="AK24" s="321"/>
      <c r="AL24" s="321"/>
      <c r="AM24" s="321"/>
      <c r="AN24" s="321"/>
      <c r="AO24" s="321"/>
    </row>
    <row r="25" spans="1:41">
      <c r="A25" s="18" t="s">
        <v>25</v>
      </c>
      <c r="B25" s="2" t="s">
        <v>28</v>
      </c>
      <c r="C25" s="2" t="s">
        <v>26</v>
      </c>
      <c r="D25" s="12"/>
      <c r="E25" s="12" t="s">
        <v>154</v>
      </c>
      <c r="F25" s="12"/>
      <c r="G25" s="12"/>
      <c r="H25" s="12"/>
      <c r="I25" s="12"/>
      <c r="J25" s="12"/>
      <c r="K25" s="12"/>
      <c r="L25" s="12"/>
      <c r="M25" s="12"/>
      <c r="N25" s="264" t="s">
        <v>169</v>
      </c>
      <c r="O25" s="17" t="str">
        <f>IF(計算!D23&lt;&gt;"",IF((DATEDIF(計算!D23,O3,"m")&gt;899),DATEDIF(計算!D23,O3-1,"y"),DATEDIF(計算!D23,O3,"y")),"")</f>
        <v/>
      </c>
      <c r="P25" s="17">
        <f>IF(計算!D23="",1,VLOOKUP(O25,T$20:U$23,2,TRUE))</f>
        <v>1</v>
      </c>
      <c r="Q25" s="262" t="s">
        <v>200</v>
      </c>
      <c r="R25" s="17">
        <f>DATEDIF(計算!D23,表!O$5-1,"y")</f>
        <v>125</v>
      </c>
      <c r="S25" s="12"/>
      <c r="T25" s="12"/>
      <c r="U25" s="12"/>
      <c r="V25" s="321"/>
      <c r="W25" s="321"/>
      <c r="X25" s="321"/>
      <c r="Y25" s="321"/>
      <c r="Z25" s="321"/>
      <c r="AA25" s="321"/>
      <c r="AB25" s="321"/>
      <c r="AC25" s="321"/>
      <c r="AD25" s="321"/>
      <c r="AE25" s="321"/>
      <c r="AF25" s="321"/>
      <c r="AG25" s="321"/>
      <c r="AH25" s="321"/>
      <c r="AI25" s="321"/>
      <c r="AJ25" s="321"/>
      <c r="AK25" s="321"/>
      <c r="AL25" s="321"/>
      <c r="AM25" s="321"/>
      <c r="AN25" s="321"/>
      <c r="AO25" s="321"/>
    </row>
    <row r="26" spans="1:41" ht="13.5" thickBot="1">
      <c r="A26" s="68">
        <f>0</f>
        <v>0</v>
      </c>
      <c r="B26" s="44">
        <v>0.7</v>
      </c>
      <c r="C26" s="44" t="s">
        <v>21</v>
      </c>
      <c r="D26" s="12"/>
      <c r="E26" s="17"/>
      <c r="F26" s="282" t="s">
        <v>80</v>
      </c>
      <c r="G26" s="282" t="s">
        <v>81</v>
      </c>
      <c r="H26" s="12"/>
      <c r="I26" s="12"/>
      <c r="J26" s="12"/>
      <c r="K26" s="12"/>
      <c r="L26" s="12"/>
      <c r="M26" s="12"/>
      <c r="N26" s="12"/>
      <c r="O26" s="12"/>
      <c r="P26" s="12"/>
      <c r="Q26" s="12"/>
      <c r="R26" s="12"/>
      <c r="S26" s="12"/>
      <c r="T26" s="12"/>
      <c r="U26" s="12"/>
      <c r="V26" s="321"/>
      <c r="W26" s="321"/>
      <c r="X26" s="321"/>
      <c r="Y26" s="321"/>
      <c r="Z26" s="321"/>
      <c r="AA26" s="321"/>
      <c r="AB26" s="321"/>
      <c r="AC26" s="321"/>
      <c r="AD26" s="321"/>
      <c r="AE26" s="321"/>
      <c r="AF26" s="321"/>
      <c r="AG26" s="321"/>
      <c r="AH26" s="321"/>
      <c r="AI26" s="321"/>
      <c r="AJ26" s="321"/>
      <c r="AK26" s="321"/>
      <c r="AL26" s="321"/>
      <c r="AM26" s="321"/>
      <c r="AN26" s="321"/>
      <c r="AO26" s="321"/>
    </row>
    <row r="27" spans="1:41" ht="13.5" thickBot="1">
      <c r="A27" s="69">
        <f>IF(P65&gt;=2,K2+(100000*(P65-1))+1,K2+1)</f>
        <v>430001</v>
      </c>
      <c r="B27" s="45">
        <v>0.5</v>
      </c>
      <c r="C27" s="45" t="s">
        <v>22</v>
      </c>
      <c r="D27" s="12"/>
      <c r="E27" s="1" t="s">
        <v>79</v>
      </c>
      <c r="F27" s="313">
        <v>0</v>
      </c>
      <c r="G27" s="315">
        <v>0</v>
      </c>
      <c r="H27" s="22" t="str">
        <f>IF(F27&gt;0,"（加入者追加人数　"&amp;F27&amp;"人）","")</f>
        <v/>
      </c>
      <c r="I27" s="22" t="str">
        <f>IF(G27&gt;0,"（介護追加人数　"&amp;G27&amp;"人）","")</f>
        <v/>
      </c>
      <c r="J27" s="12"/>
      <c r="K27" s="12"/>
      <c r="L27" s="12"/>
      <c r="M27" s="12"/>
      <c r="N27" s="12"/>
      <c r="O27" s="12"/>
      <c r="P27" s="12"/>
      <c r="Q27" s="12"/>
      <c r="R27" s="12"/>
      <c r="S27" s="12"/>
      <c r="T27" s="12"/>
      <c r="U27" s="12"/>
      <c r="V27" s="321"/>
      <c r="W27" s="321"/>
      <c r="X27" s="321"/>
      <c r="Y27" s="321"/>
      <c r="Z27" s="321"/>
      <c r="AA27" s="321"/>
      <c r="AB27" s="321"/>
      <c r="AC27" s="321"/>
      <c r="AD27" s="321"/>
      <c r="AE27" s="321"/>
      <c r="AF27" s="321"/>
      <c r="AG27" s="321"/>
      <c r="AH27" s="321"/>
      <c r="AI27" s="321"/>
      <c r="AJ27" s="321"/>
      <c r="AK27" s="321"/>
      <c r="AL27" s="321"/>
      <c r="AM27" s="321"/>
      <c r="AN27" s="321"/>
      <c r="AO27" s="321"/>
    </row>
    <row r="28" spans="1:41" ht="13.5" thickBot="1">
      <c r="A28" s="70">
        <f>IF(P65&gt;=2,K2+L2*(D17+F28)+(100000*(P65-1))+1,K2+L2*(D17+F28)+1)</f>
        <v>430001</v>
      </c>
      <c r="B28" s="45">
        <v>0.2</v>
      </c>
      <c r="C28" s="45" t="s">
        <v>27</v>
      </c>
      <c r="D28" s="12"/>
      <c r="E28" s="1" t="s">
        <v>82</v>
      </c>
      <c r="F28" s="314">
        <v>0</v>
      </c>
      <c r="G28" s="21" t="s">
        <v>83</v>
      </c>
      <c r="H28" s="12" t="str">
        <f>IF(F28&gt;0,"（軽減判定追加人数　"&amp;F28&amp;"人）","")</f>
        <v/>
      </c>
      <c r="I28" s="12"/>
      <c r="J28" s="12"/>
      <c r="K28" s="12"/>
      <c r="L28" s="12"/>
      <c r="M28" s="12"/>
      <c r="N28" s="12"/>
      <c r="O28" s="12"/>
      <c r="P28" s="12"/>
      <c r="Q28" s="12"/>
      <c r="R28" s="12"/>
      <c r="S28" s="12"/>
      <c r="T28" s="12"/>
      <c r="U28" s="12"/>
      <c r="V28" s="321"/>
      <c r="W28" s="321"/>
      <c r="X28" s="321"/>
      <c r="Y28" s="321"/>
      <c r="Z28" s="321"/>
      <c r="AA28" s="321"/>
      <c r="AB28" s="321"/>
      <c r="AC28" s="321"/>
      <c r="AD28" s="321"/>
      <c r="AE28" s="321"/>
      <c r="AF28" s="321"/>
      <c r="AG28" s="321"/>
      <c r="AH28" s="321"/>
      <c r="AI28" s="321"/>
      <c r="AJ28" s="321"/>
      <c r="AK28" s="321"/>
      <c r="AL28" s="321"/>
      <c r="AM28" s="321"/>
      <c r="AN28" s="321"/>
      <c r="AO28" s="321"/>
    </row>
    <row r="29" spans="1:41">
      <c r="A29" s="71">
        <f>IF(P65&gt;=2,K2+M2*(D17+F28)+(100000*(P65-1))+1,K2+M2*(D17+F28)+1)</f>
        <v>430001</v>
      </c>
      <c r="B29" s="46">
        <v>0</v>
      </c>
      <c r="C29" s="281" t="s">
        <v>29</v>
      </c>
      <c r="D29" s="12"/>
      <c r="E29" s="17"/>
      <c r="F29" s="20"/>
      <c r="G29" s="17"/>
      <c r="H29" s="41" t="str">
        <f>IF(F27&lt;G27,"人数おかしくない？","")</f>
        <v/>
      </c>
      <c r="I29" s="12"/>
      <c r="J29" s="12"/>
      <c r="K29" s="12"/>
      <c r="L29" s="12"/>
      <c r="M29" s="12"/>
      <c r="N29" s="12"/>
      <c r="O29" s="12"/>
      <c r="P29" s="12"/>
      <c r="Q29" s="12"/>
      <c r="R29" s="12"/>
      <c r="S29" s="12"/>
      <c r="T29" s="12"/>
      <c r="U29" s="12"/>
      <c r="V29" s="321"/>
      <c r="W29" s="321"/>
      <c r="X29" s="321"/>
      <c r="Y29" s="321"/>
      <c r="Z29" s="321"/>
      <c r="AA29" s="321"/>
      <c r="AB29" s="321"/>
      <c r="AC29" s="321"/>
      <c r="AD29" s="321"/>
      <c r="AE29" s="321"/>
      <c r="AF29" s="321"/>
      <c r="AG29" s="321"/>
      <c r="AH29" s="321"/>
      <c r="AI29" s="321"/>
      <c r="AJ29" s="321"/>
      <c r="AK29" s="321"/>
      <c r="AL29" s="321"/>
      <c r="AM29" s="321"/>
      <c r="AN29" s="321"/>
      <c r="AO29" s="321"/>
    </row>
    <row r="30" spans="1:41">
      <c r="A30" s="12"/>
      <c r="B30" s="12"/>
      <c r="C30" s="12"/>
      <c r="D30" s="12"/>
      <c r="E30" s="12"/>
      <c r="F30" s="12"/>
      <c r="G30" s="12"/>
      <c r="H30" s="12"/>
      <c r="I30" s="12"/>
      <c r="J30" s="12"/>
      <c r="K30" s="12"/>
      <c r="L30" s="12"/>
      <c r="M30" s="12"/>
      <c r="N30" s="12"/>
      <c r="O30" s="12"/>
      <c r="P30" s="12"/>
      <c r="Q30" s="12"/>
      <c r="R30" s="12"/>
      <c r="S30" s="12"/>
      <c r="T30" s="12"/>
      <c r="U30" s="12"/>
      <c r="V30" s="321"/>
      <c r="W30" s="321"/>
      <c r="X30" s="321"/>
      <c r="Y30" s="321"/>
      <c r="Z30" s="321"/>
      <c r="AA30" s="321"/>
      <c r="AB30" s="321"/>
      <c r="AC30" s="321"/>
      <c r="AD30" s="321"/>
      <c r="AE30" s="321"/>
      <c r="AF30" s="321"/>
      <c r="AG30" s="321"/>
      <c r="AH30" s="321"/>
      <c r="AI30" s="321"/>
      <c r="AJ30" s="321"/>
      <c r="AK30" s="321"/>
      <c r="AL30" s="321"/>
      <c r="AM30" s="321"/>
      <c r="AN30" s="321"/>
      <c r="AO30" s="321"/>
    </row>
    <row r="31" spans="1:41">
      <c r="A31" s="12"/>
      <c r="B31" s="12"/>
      <c r="C31" s="12"/>
      <c r="D31" s="12"/>
      <c r="E31" s="12" t="s">
        <v>155</v>
      </c>
      <c r="F31" s="12"/>
      <c r="G31" s="12"/>
      <c r="H31" s="12"/>
      <c r="I31" s="12" t="s">
        <v>156</v>
      </c>
      <c r="J31" s="12"/>
      <c r="K31" s="12"/>
      <c r="L31" s="12"/>
      <c r="M31" s="12"/>
      <c r="N31" s="12"/>
      <c r="O31" s="12"/>
      <c r="P31" s="12"/>
      <c r="Q31" s="12"/>
      <c r="R31" s="12"/>
      <c r="S31" s="12"/>
      <c r="T31" s="12"/>
      <c r="U31" s="12"/>
      <c r="V31" s="321"/>
      <c r="W31" s="321"/>
      <c r="X31" s="321"/>
      <c r="Y31" s="321"/>
      <c r="Z31" s="321"/>
      <c r="AA31" s="321"/>
      <c r="AB31" s="321"/>
      <c r="AC31" s="321"/>
      <c r="AD31" s="321"/>
      <c r="AE31" s="321"/>
      <c r="AF31" s="321"/>
      <c r="AG31" s="321"/>
      <c r="AH31" s="321"/>
      <c r="AI31" s="321"/>
      <c r="AJ31" s="321"/>
      <c r="AK31" s="321"/>
      <c r="AL31" s="321"/>
      <c r="AM31" s="321"/>
      <c r="AN31" s="321"/>
      <c r="AO31" s="321"/>
    </row>
    <row r="32" spans="1:41" ht="13.5" thickBot="1">
      <c r="A32" s="12"/>
      <c r="B32" s="12"/>
      <c r="C32" s="12"/>
      <c r="D32" s="12"/>
      <c r="E32" s="17"/>
      <c r="F32" s="283" t="s">
        <v>80</v>
      </c>
      <c r="G32" s="12"/>
      <c r="H32" s="12"/>
      <c r="I32" s="17"/>
      <c r="J32" s="284" t="s">
        <v>80</v>
      </c>
      <c r="K32" s="285" t="s">
        <v>117</v>
      </c>
      <c r="L32" s="43" t="str">
        <f>IF(AND(J33=0,K33="あり"),"人数が入ってないですよ！","")</f>
        <v/>
      </c>
      <c r="M32" s="12"/>
      <c r="N32" s="12"/>
      <c r="O32" s="12"/>
      <c r="P32" s="12"/>
      <c r="Q32" s="12"/>
      <c r="R32" s="12"/>
      <c r="S32" s="12"/>
      <c r="T32" s="12"/>
      <c r="U32" s="12"/>
      <c r="V32" s="321"/>
      <c r="W32" s="321"/>
      <c r="X32" s="321"/>
      <c r="Y32" s="321"/>
      <c r="Z32" s="321"/>
      <c r="AA32" s="321"/>
      <c r="AB32" s="321"/>
      <c r="AC32" s="321"/>
      <c r="AD32" s="321"/>
      <c r="AE32" s="321"/>
      <c r="AF32" s="321"/>
      <c r="AG32" s="321"/>
      <c r="AH32" s="321"/>
      <c r="AI32" s="321"/>
      <c r="AJ32" s="321"/>
      <c r="AK32" s="321"/>
      <c r="AL32" s="321"/>
      <c r="AM32" s="321"/>
      <c r="AN32" s="321"/>
      <c r="AO32" s="321"/>
    </row>
    <row r="33" spans="1:41" ht="13.5" thickBot="1">
      <c r="A33" s="12"/>
      <c r="B33" s="12"/>
      <c r="C33" s="12"/>
      <c r="D33" s="12"/>
      <c r="E33" s="269" t="s">
        <v>84</v>
      </c>
      <c r="F33" s="316">
        <v>1</v>
      </c>
      <c r="G33" s="473" t="str">
        <f>IF(AND(D17&gt;1,F33&lt;1),"加入者が2人以上です！(旧国)","")</f>
        <v/>
      </c>
      <c r="H33" s="474"/>
      <c r="I33" s="269" t="s">
        <v>107</v>
      </c>
      <c r="J33" s="317">
        <v>0</v>
      </c>
      <c r="K33" s="318" t="s">
        <v>229</v>
      </c>
      <c r="L33" s="41" t="str">
        <f>IF(OR(D17&lt;J33,AND(J33&gt;0,K34&lt;&gt;J33)),"人数エラー(旧被扶養者減免)",IF(AND(B21&gt;0.2,J33&gt;0),"応益割減免対象外(旧被扶養者減免)",""))</f>
        <v/>
      </c>
      <c r="M33" s="12"/>
      <c r="N33" s="8"/>
      <c r="O33" s="8"/>
      <c r="P33" s="8"/>
      <c r="Q33" s="8"/>
      <c r="R33" s="12"/>
      <c r="S33" s="12"/>
      <c r="T33" s="12"/>
      <c r="U33" s="12"/>
      <c r="V33" s="321"/>
      <c r="W33" s="321"/>
      <c r="X33" s="321"/>
      <c r="Y33" s="321"/>
      <c r="Z33" s="321"/>
      <c r="AA33" s="321"/>
      <c r="AB33" s="321"/>
      <c r="AC33" s="321"/>
      <c r="AD33" s="321"/>
      <c r="AE33" s="321"/>
      <c r="AF33" s="321"/>
      <c r="AG33" s="321"/>
      <c r="AH33" s="321"/>
      <c r="AI33" s="321"/>
      <c r="AJ33" s="321"/>
      <c r="AK33" s="321"/>
      <c r="AL33" s="321"/>
      <c r="AM33" s="321"/>
      <c r="AN33" s="321"/>
      <c r="AO33" s="321"/>
    </row>
    <row r="34" spans="1:41">
      <c r="A34" s="12"/>
      <c r="B34" s="12"/>
      <c r="C34" s="12"/>
      <c r="D34" s="12"/>
      <c r="E34" s="37" t="s">
        <v>108</v>
      </c>
      <c r="F34" s="12">
        <f>IF(K33="あり",0.5,B21*10+F33)</f>
        <v>8</v>
      </c>
      <c r="G34" s="42" t="str">
        <f>IF(F33=1,"","旧国の適用有")</f>
        <v/>
      </c>
      <c r="H34" s="12"/>
      <c r="I34" s="37" t="s">
        <v>112</v>
      </c>
      <c r="J34" s="12">
        <f>B21*10</f>
        <v>7</v>
      </c>
      <c r="K34" s="12">
        <f>COUNTIF(B11:B16,4)</f>
        <v>0</v>
      </c>
      <c r="L34" s="224" t="str">
        <f>IF(K33="あり","平等割1/2(旧被扶養者減免)","")</f>
        <v/>
      </c>
      <c r="M34" s="223"/>
      <c r="N34" s="223"/>
      <c r="O34" s="223"/>
      <c r="P34" s="223"/>
      <c r="Q34" s="223"/>
      <c r="R34" s="12"/>
      <c r="S34" s="12"/>
      <c r="T34" s="12"/>
      <c r="U34" s="12"/>
      <c r="V34" s="321"/>
      <c r="W34" s="321"/>
      <c r="X34" s="321"/>
      <c r="Y34" s="321"/>
      <c r="Z34" s="321"/>
      <c r="AA34" s="321"/>
      <c r="AB34" s="321"/>
      <c r="AC34" s="321"/>
      <c r="AD34" s="321"/>
      <c r="AE34" s="321"/>
      <c r="AF34" s="321"/>
      <c r="AG34" s="321"/>
      <c r="AH34" s="321"/>
      <c r="AI34" s="321"/>
      <c r="AJ34" s="321"/>
      <c r="AK34" s="321"/>
      <c r="AL34" s="321"/>
      <c r="AM34" s="321"/>
      <c r="AN34" s="321"/>
      <c r="AO34" s="321"/>
    </row>
    <row r="35" spans="1:41">
      <c r="A35" s="35"/>
      <c r="B35" s="35" t="s">
        <v>104</v>
      </c>
      <c r="C35" s="35"/>
      <c r="D35" s="35"/>
      <c r="E35" s="35"/>
      <c r="F35" s="35"/>
      <c r="G35" s="40" t="s">
        <v>115</v>
      </c>
      <c r="H35" s="35"/>
      <c r="I35" s="35"/>
      <c r="J35" s="35"/>
      <c r="K35" s="35"/>
      <c r="L35" s="29"/>
      <c r="M35" s="29" t="s">
        <v>202</v>
      </c>
      <c r="N35" s="8"/>
      <c r="O35" s="8"/>
      <c r="P35" s="8"/>
      <c r="Q35" s="8"/>
      <c r="R35" s="12"/>
      <c r="S35" s="12"/>
      <c r="T35" s="12"/>
      <c r="U35" s="12"/>
      <c r="V35" s="321"/>
      <c r="W35" s="321"/>
      <c r="X35" s="321"/>
      <c r="Y35" s="321"/>
      <c r="Z35" s="321"/>
      <c r="AA35" s="321"/>
      <c r="AB35" s="321"/>
      <c r="AC35" s="321"/>
      <c r="AD35" s="321"/>
      <c r="AE35" s="321"/>
      <c r="AF35" s="321"/>
      <c r="AG35" s="321"/>
      <c r="AH35" s="321"/>
      <c r="AI35" s="321"/>
      <c r="AJ35" s="321"/>
      <c r="AK35" s="321"/>
      <c r="AL35" s="321"/>
      <c r="AM35" s="321"/>
      <c r="AN35" s="321"/>
      <c r="AO35" s="321"/>
    </row>
    <row r="36" spans="1:41">
      <c r="A36" s="39" t="s">
        <v>111</v>
      </c>
      <c r="B36" s="252" t="s">
        <v>105</v>
      </c>
      <c r="C36" s="252" t="s">
        <v>85</v>
      </c>
      <c r="D36" s="252" t="s">
        <v>86</v>
      </c>
      <c r="E36" s="252" t="s">
        <v>87</v>
      </c>
      <c r="F36" s="27"/>
      <c r="G36" s="294" t="s">
        <v>113</v>
      </c>
      <c r="H36" s="252" t="s">
        <v>106</v>
      </c>
      <c r="I36" s="252" t="s">
        <v>85</v>
      </c>
      <c r="J36" s="252" t="s">
        <v>86</v>
      </c>
      <c r="K36" s="252" t="s">
        <v>87</v>
      </c>
      <c r="L36" s="27"/>
      <c r="M36" s="479" t="s">
        <v>150</v>
      </c>
      <c r="N36" s="479"/>
      <c r="O36" s="479"/>
      <c r="P36" s="479"/>
      <c r="Q36" s="479"/>
      <c r="R36" s="12"/>
      <c r="S36" s="12"/>
      <c r="T36" s="12"/>
      <c r="U36" s="12"/>
      <c r="V36" s="321"/>
      <c r="W36" s="321"/>
      <c r="X36" s="321"/>
      <c r="Y36" s="321"/>
      <c r="Z36" s="321"/>
      <c r="AA36" s="321"/>
      <c r="AB36" s="321"/>
      <c r="AC36" s="321"/>
      <c r="AD36" s="321"/>
      <c r="AE36" s="321"/>
      <c r="AF36" s="321"/>
      <c r="AG36" s="321"/>
      <c r="AH36" s="321"/>
      <c r="AI36" s="321"/>
      <c r="AJ36" s="321"/>
      <c r="AK36" s="321"/>
      <c r="AL36" s="321"/>
      <c r="AM36" s="321"/>
      <c r="AN36" s="321"/>
      <c r="AO36" s="321"/>
    </row>
    <row r="37" spans="1:41">
      <c r="A37" s="253">
        <v>0</v>
      </c>
      <c r="B37" s="293" t="s">
        <v>88</v>
      </c>
      <c r="C37" s="211">
        <f>F2</f>
        <v>30133</v>
      </c>
      <c r="D37" s="211">
        <f>F3</f>
        <v>10330</v>
      </c>
      <c r="E37" s="211">
        <f>F4</f>
        <v>9522</v>
      </c>
      <c r="F37" s="27"/>
      <c r="G37" s="28">
        <v>1</v>
      </c>
      <c r="H37" s="293" t="s">
        <v>92</v>
      </c>
      <c r="I37" s="211">
        <f>G2</f>
        <v>29758</v>
      </c>
      <c r="J37" s="211">
        <f>G3</f>
        <v>10201</v>
      </c>
      <c r="K37" s="211">
        <f>G4</f>
        <v>7163</v>
      </c>
      <c r="L37" s="27"/>
      <c r="M37" s="478" t="s">
        <v>151</v>
      </c>
      <c r="N37" s="478"/>
      <c r="O37" s="478"/>
      <c r="P37" s="478"/>
      <c r="Q37" s="478"/>
      <c r="R37" s="12"/>
      <c r="S37" s="12"/>
      <c r="T37" s="12"/>
      <c r="U37" s="12"/>
      <c r="V37" s="321"/>
      <c r="W37" s="321"/>
      <c r="X37" s="321"/>
      <c r="Y37" s="321"/>
      <c r="Z37" s="321"/>
      <c r="AA37" s="321"/>
      <c r="AB37" s="321"/>
      <c r="AC37" s="321"/>
      <c r="AD37" s="321"/>
      <c r="AE37" s="321"/>
      <c r="AF37" s="321"/>
      <c r="AG37" s="321"/>
      <c r="AH37" s="321"/>
      <c r="AI37" s="321"/>
      <c r="AJ37" s="321"/>
      <c r="AK37" s="321"/>
      <c r="AL37" s="321"/>
      <c r="AM37" s="321"/>
      <c r="AN37" s="321"/>
      <c r="AO37" s="321"/>
    </row>
    <row r="38" spans="1:41">
      <c r="A38" s="253">
        <v>7</v>
      </c>
      <c r="B38" s="214" t="s">
        <v>89</v>
      </c>
      <c r="C38" s="212">
        <f>$C$37-ROUNDUP($C$37*0.7,0)</f>
        <v>9039</v>
      </c>
      <c r="D38" s="212">
        <f>$D$37-ROUNDUP($D$37*0.7,0)</f>
        <v>3099</v>
      </c>
      <c r="E38" s="212">
        <f>$E$37-ROUNDUP($E$37*0.7,0)</f>
        <v>2856</v>
      </c>
      <c r="F38" s="27"/>
      <c r="G38" s="28">
        <v>8</v>
      </c>
      <c r="H38" s="214" t="s">
        <v>93</v>
      </c>
      <c r="I38" s="212">
        <f>$I$37-ROUNDUP($I$37*0.7,0)</f>
        <v>8927</v>
      </c>
      <c r="J38" s="212">
        <f>$J$37-ROUNDUP($J$37*0.7,0)</f>
        <v>3060</v>
      </c>
      <c r="K38" s="212">
        <f>$K$37-ROUNDUP($K$37*0.7,0)</f>
        <v>2148</v>
      </c>
      <c r="L38" s="27"/>
      <c r="M38" s="476" t="s">
        <v>230</v>
      </c>
      <c r="N38" s="476"/>
      <c r="O38" s="476"/>
      <c r="P38" s="476"/>
      <c r="Q38" s="476"/>
      <c r="R38" s="12"/>
      <c r="S38" s="12"/>
      <c r="T38" s="12"/>
      <c r="U38" s="12"/>
      <c r="V38" s="321"/>
      <c r="W38" s="321"/>
      <c r="X38" s="321"/>
      <c r="Y38" s="321"/>
      <c r="Z38" s="321"/>
      <c r="AA38" s="321"/>
      <c r="AB38" s="321"/>
      <c r="AC38" s="321"/>
      <c r="AD38" s="321"/>
      <c r="AE38" s="321"/>
      <c r="AF38" s="321"/>
      <c r="AG38" s="321"/>
      <c r="AH38" s="321"/>
      <c r="AI38" s="321"/>
      <c r="AJ38" s="321"/>
      <c r="AK38" s="321"/>
      <c r="AL38" s="321"/>
      <c r="AM38" s="321"/>
      <c r="AN38" s="321"/>
      <c r="AO38" s="321"/>
    </row>
    <row r="39" spans="1:41">
      <c r="A39" s="253">
        <v>5</v>
      </c>
      <c r="B39" s="214" t="s">
        <v>90</v>
      </c>
      <c r="C39" s="212">
        <f>$C$37-ROUNDUP($C$37*0.5,0)</f>
        <v>15066</v>
      </c>
      <c r="D39" s="212">
        <f>$D$37-ROUNDUP($D$37*0.5,0)</f>
        <v>5165</v>
      </c>
      <c r="E39" s="212">
        <f>$E$37-ROUNDUP($E$37*0.5,0)</f>
        <v>4761</v>
      </c>
      <c r="F39" s="27"/>
      <c r="G39" s="28">
        <v>6</v>
      </c>
      <c r="H39" s="214" t="s">
        <v>94</v>
      </c>
      <c r="I39" s="212">
        <f>$I$37-ROUNDUP($I$37*0.5,0)</f>
        <v>14879</v>
      </c>
      <c r="J39" s="212">
        <f>$J$37-ROUNDUP($J$37*0.5,0)</f>
        <v>5100</v>
      </c>
      <c r="K39" s="212">
        <f>$K$37-ROUNDUP($K$37*0.5,0)</f>
        <v>3581</v>
      </c>
      <c r="L39" s="27"/>
      <c r="M39" s="477" t="s">
        <v>231</v>
      </c>
      <c r="N39" s="477"/>
      <c r="O39" s="477"/>
      <c r="P39" s="477"/>
      <c r="Q39" s="477"/>
      <c r="R39" s="12"/>
      <c r="S39" s="12"/>
      <c r="T39" s="12"/>
      <c r="U39" s="12"/>
      <c r="V39" s="321"/>
      <c r="W39" s="321"/>
      <c r="X39" s="321"/>
      <c r="Y39" s="321"/>
      <c r="Z39" s="321"/>
      <c r="AA39" s="321"/>
      <c r="AB39" s="321"/>
      <c r="AC39" s="321"/>
      <c r="AD39" s="321"/>
      <c r="AE39" s="321"/>
      <c r="AF39" s="321"/>
      <c r="AG39" s="321"/>
      <c r="AH39" s="321"/>
      <c r="AI39" s="321"/>
      <c r="AJ39" s="321"/>
      <c r="AK39" s="321"/>
      <c r="AL39" s="321"/>
      <c r="AM39" s="321"/>
      <c r="AN39" s="321"/>
      <c r="AO39" s="321"/>
    </row>
    <row r="40" spans="1:41">
      <c r="A40" s="253">
        <v>2</v>
      </c>
      <c r="B40" s="215" t="s">
        <v>91</v>
      </c>
      <c r="C40" s="213">
        <f>$C$37-ROUNDUP($C$37*0.2,0)</f>
        <v>24106</v>
      </c>
      <c r="D40" s="213">
        <f>$D$37-ROUNDUP($D$37*0.2,0)</f>
        <v>8264</v>
      </c>
      <c r="E40" s="213">
        <f>$E$37-ROUNDUP($E$37*0.2,0)</f>
        <v>7617</v>
      </c>
      <c r="F40" s="27"/>
      <c r="G40" s="28">
        <v>3</v>
      </c>
      <c r="H40" s="214" t="s">
        <v>95</v>
      </c>
      <c r="I40" s="212">
        <f>$I$37-ROUNDUP($I$37*0.2,0)</f>
        <v>23806</v>
      </c>
      <c r="J40" s="212">
        <f>$J$37-ROUNDUP($J$37*0.2,0)</f>
        <v>8160</v>
      </c>
      <c r="K40" s="212">
        <f>$K$37-ROUNDUP($K$37*0.2,0)</f>
        <v>5730</v>
      </c>
      <c r="L40" s="27"/>
      <c r="M40" s="29"/>
      <c r="N40" s="8"/>
      <c r="O40" s="8"/>
      <c r="P40" s="8"/>
      <c r="Q40" s="8"/>
      <c r="R40" s="12"/>
      <c r="S40" s="12"/>
      <c r="T40" s="12"/>
      <c r="U40" s="12"/>
      <c r="V40" s="321"/>
      <c r="W40" s="321"/>
      <c r="X40" s="321"/>
      <c r="Y40" s="321"/>
      <c r="Z40" s="321"/>
      <c r="AA40" s="321"/>
      <c r="AB40" s="321"/>
      <c r="AC40" s="321"/>
      <c r="AD40" s="321"/>
      <c r="AE40" s="321"/>
      <c r="AF40" s="321"/>
      <c r="AG40" s="321"/>
      <c r="AH40" s="321"/>
      <c r="AI40" s="321"/>
      <c r="AJ40" s="321"/>
      <c r="AK40" s="321"/>
      <c r="AL40" s="321"/>
      <c r="AM40" s="321"/>
      <c r="AN40" s="321"/>
      <c r="AO40" s="321"/>
    </row>
    <row r="41" spans="1:41">
      <c r="A41" s="247" t="s">
        <v>109</v>
      </c>
      <c r="B41" s="248" t="str">
        <f>VLOOKUP(J34,A37:B40,2,FALSE)</f>
        <v>均7減</v>
      </c>
      <c r="C41" s="286">
        <f>VLOOKUP(J34,A37:C40,3,FALSE)</f>
        <v>9039</v>
      </c>
      <c r="D41" s="286">
        <f>VLOOKUP(J34,A37:D40,4,FALSE)</f>
        <v>3099</v>
      </c>
      <c r="E41" s="286">
        <f>VLOOKUP(J34,A37:E40,5,FALSE)</f>
        <v>2856</v>
      </c>
      <c r="F41" s="27"/>
      <c r="G41" s="28">
        <v>0.5</v>
      </c>
      <c r="H41" s="214" t="s">
        <v>96</v>
      </c>
      <c r="I41" s="212">
        <f>$I$37-ROUNDDOWN($I$37/2,0)</f>
        <v>14879</v>
      </c>
      <c r="J41" s="212">
        <f>$J$37-ROUNDDOWN($J$37/2,0)</f>
        <v>5101</v>
      </c>
      <c r="K41" s="214" t="s">
        <v>114</v>
      </c>
      <c r="L41" s="27"/>
      <c r="M41" s="29"/>
      <c r="N41" s="8"/>
      <c r="O41" s="8"/>
      <c r="P41" s="8"/>
      <c r="Q41" s="8"/>
      <c r="R41" s="12"/>
      <c r="S41" s="12"/>
      <c r="T41" s="12"/>
      <c r="U41" s="12"/>
      <c r="V41" s="321"/>
      <c r="W41" s="321"/>
      <c r="X41" s="321"/>
      <c r="Y41" s="321"/>
      <c r="Z41" s="321"/>
      <c r="AA41" s="321"/>
      <c r="AB41" s="321"/>
      <c r="AC41" s="321"/>
      <c r="AD41" s="321"/>
      <c r="AE41" s="321"/>
      <c r="AF41" s="321"/>
      <c r="AG41" s="321"/>
      <c r="AH41" s="321"/>
      <c r="AI41" s="321"/>
      <c r="AJ41" s="321"/>
      <c r="AK41" s="321"/>
      <c r="AL41" s="321"/>
      <c r="AM41" s="321"/>
      <c r="AN41" s="321"/>
      <c r="AO41" s="321"/>
    </row>
    <row r="42" spans="1:41">
      <c r="A42" s="27"/>
      <c r="B42" s="38" t="s">
        <v>110</v>
      </c>
      <c r="C42" s="286">
        <f>IF(OR(J34=2,J34=0),C39,C41)</f>
        <v>9039</v>
      </c>
      <c r="D42" s="286">
        <f>IF(OR(J34=2,J34=0),D39,D41)</f>
        <v>3099</v>
      </c>
      <c r="E42" s="27"/>
      <c r="F42" s="27"/>
      <c r="G42" s="28">
        <v>7.5</v>
      </c>
      <c r="H42" s="214" t="s">
        <v>97</v>
      </c>
      <c r="I42" s="212">
        <f>$I$37-ROUNDDOWN($I$37/2,0)-ROUNDUP(($I$37-ROUNDDOWN($I$37/2,0))*0.7,0)</f>
        <v>4463</v>
      </c>
      <c r="J42" s="212">
        <f>$J$37-ROUNDDOWN($J$37/2,0)-ROUNDUP(($J$37-ROUNDDOWN($J$37/2,0))*0.7,0)</f>
        <v>1530</v>
      </c>
      <c r="K42" s="214" t="s">
        <v>114</v>
      </c>
      <c r="L42" s="27"/>
      <c r="M42" s="29"/>
      <c r="N42" s="8"/>
      <c r="O42" s="8"/>
      <c r="P42" s="8"/>
      <c r="Q42" s="8"/>
      <c r="R42" s="12"/>
      <c r="S42" s="12"/>
      <c r="T42" s="12"/>
      <c r="U42" s="12"/>
      <c r="V42" s="321"/>
      <c r="W42" s="321"/>
      <c r="X42" s="321"/>
      <c r="Y42" s="321"/>
      <c r="Z42" s="321"/>
      <c r="AA42" s="321"/>
      <c r="AB42" s="321"/>
      <c r="AC42" s="321"/>
      <c r="AD42" s="321"/>
      <c r="AE42" s="321"/>
      <c r="AF42" s="321"/>
      <c r="AG42" s="321"/>
      <c r="AH42" s="321"/>
      <c r="AI42" s="321"/>
      <c r="AJ42" s="321"/>
      <c r="AK42" s="321"/>
      <c r="AL42" s="321"/>
      <c r="AM42" s="321"/>
      <c r="AN42" s="321"/>
      <c r="AO42" s="321"/>
    </row>
    <row r="43" spans="1:41" ht="13.5" thickBot="1">
      <c r="A43" s="27"/>
      <c r="B43" s="27"/>
      <c r="C43" s="27"/>
      <c r="D43" s="27"/>
      <c r="E43" s="27"/>
      <c r="F43" s="27"/>
      <c r="G43" s="28">
        <v>5.5</v>
      </c>
      <c r="H43" s="214" t="s">
        <v>98</v>
      </c>
      <c r="I43" s="212">
        <f>$I$37-ROUNDDOWN($I$37/2,0)-ROUNDUP(($I$37-ROUNDDOWN($I$37/2,0))*0.5,0)</f>
        <v>7439</v>
      </c>
      <c r="J43" s="212">
        <f>$J$37-ROUNDDOWN($J$37/2,0)-ROUNDUP(($J$37-ROUNDDOWN($J$37/2,0))*0.5,0)</f>
        <v>2550</v>
      </c>
      <c r="K43" s="214" t="s">
        <v>114</v>
      </c>
      <c r="L43" s="27"/>
      <c r="M43" s="29"/>
      <c r="N43" s="8"/>
      <c r="O43" s="8"/>
      <c r="P43" s="8"/>
      <c r="Q43" s="8"/>
      <c r="R43" s="12"/>
      <c r="S43" s="12"/>
      <c r="T43" s="12"/>
      <c r="U43" s="12"/>
      <c r="V43" s="321"/>
      <c r="W43" s="321"/>
      <c r="X43" s="321"/>
      <c r="Y43" s="321"/>
      <c r="Z43" s="321"/>
      <c r="AA43" s="321"/>
      <c r="AB43" s="321"/>
      <c r="AC43" s="321"/>
      <c r="AD43" s="321"/>
      <c r="AE43" s="321"/>
      <c r="AF43" s="321"/>
      <c r="AG43" s="321"/>
      <c r="AH43" s="321"/>
      <c r="AI43" s="321"/>
      <c r="AJ43" s="321"/>
      <c r="AK43" s="321"/>
      <c r="AL43" s="321"/>
      <c r="AM43" s="321"/>
      <c r="AN43" s="321"/>
      <c r="AO43" s="321"/>
    </row>
    <row r="44" spans="1:41" ht="13.5" thickBot="1">
      <c r="A44" s="360" t="s">
        <v>220</v>
      </c>
      <c r="B44" s="386">
        <v>0</v>
      </c>
      <c r="C44" s="366" t="s">
        <v>228</v>
      </c>
      <c r="D44" s="27"/>
      <c r="E44" s="385" t="str">
        <f>IF(AND(B44&gt;0,E47=0),"未就学児いないぞ！","")</f>
        <v/>
      </c>
      <c r="F44" s="27"/>
      <c r="G44" s="28">
        <v>2.5</v>
      </c>
      <c r="H44" s="214" t="s">
        <v>99</v>
      </c>
      <c r="I44" s="212">
        <f>$I$37-ROUNDDOWN($I$37/2,0)-ROUNDUP(($I$37-ROUNDDOWN($I$37/2,0))*0.2,0)</f>
        <v>11903</v>
      </c>
      <c r="J44" s="212">
        <f>$J$37-ROUNDDOWN($J$37/2,0)-ROUNDUP(($J$37-ROUNDDOWN($J$37/2,0))*0.2,0)</f>
        <v>4080</v>
      </c>
      <c r="K44" s="214" t="s">
        <v>114</v>
      </c>
      <c r="L44" s="27"/>
      <c r="M44" s="29"/>
      <c r="N44" s="8"/>
      <c r="O44" s="8"/>
      <c r="P44" s="8"/>
      <c r="Q44" s="8"/>
      <c r="R44" s="12"/>
      <c r="S44" s="12"/>
      <c r="T44" s="12"/>
      <c r="U44" s="12"/>
      <c r="V44" s="321"/>
      <c r="W44" s="321"/>
      <c r="X44" s="321"/>
      <c r="Y44" s="321"/>
      <c r="Z44" s="321"/>
      <c r="AA44" s="321"/>
      <c r="AB44" s="321"/>
      <c r="AC44" s="321"/>
      <c r="AD44" s="321"/>
      <c r="AE44" s="321"/>
      <c r="AF44" s="321"/>
      <c r="AG44" s="321"/>
      <c r="AH44" s="321"/>
      <c r="AI44" s="321"/>
      <c r="AJ44" s="321"/>
      <c r="AK44" s="321"/>
      <c r="AL44" s="321"/>
      <c r="AM44" s="321"/>
      <c r="AN44" s="321"/>
      <c r="AO44" s="321"/>
    </row>
    <row r="45" spans="1:41">
      <c r="A45" s="39" t="s">
        <v>227</v>
      </c>
      <c r="B45" s="359" t="s">
        <v>221</v>
      </c>
      <c r="C45" s="361" t="s">
        <v>222</v>
      </c>
      <c r="D45" s="363" t="s">
        <v>223</v>
      </c>
      <c r="E45" s="363" t="s">
        <v>224</v>
      </c>
      <c r="F45" s="27"/>
      <c r="G45" s="28">
        <v>0.75</v>
      </c>
      <c r="H45" s="214" t="s">
        <v>100</v>
      </c>
      <c r="I45" s="212">
        <f>$I$37-ROUNDDOWN($I$37/4,0)</f>
        <v>22319</v>
      </c>
      <c r="J45" s="212">
        <f>$J$37-ROUNDDOWN($J$37/4,0)</f>
        <v>7651</v>
      </c>
      <c r="K45" s="214" t="s">
        <v>114</v>
      </c>
      <c r="L45" s="27"/>
      <c r="M45" s="29"/>
      <c r="N45" s="8"/>
      <c r="O45" s="8"/>
      <c r="P45" s="8"/>
      <c r="Q45" s="8"/>
      <c r="R45" s="12"/>
      <c r="S45" s="12"/>
      <c r="T45" s="12"/>
      <c r="U45" s="12"/>
      <c r="V45" s="321"/>
      <c r="W45" s="321"/>
      <c r="X45" s="321"/>
      <c r="Y45" s="321"/>
      <c r="Z45" s="321"/>
      <c r="AA45" s="321"/>
      <c r="AB45" s="321"/>
      <c r="AC45" s="321"/>
      <c r="AD45" s="321"/>
      <c r="AE45" s="321"/>
      <c r="AF45" s="321"/>
      <c r="AG45" s="321"/>
      <c r="AH45" s="321"/>
      <c r="AI45" s="321"/>
      <c r="AJ45" s="321"/>
      <c r="AK45" s="321"/>
      <c r="AL45" s="321"/>
      <c r="AM45" s="321"/>
      <c r="AN45" s="321"/>
      <c r="AO45" s="321"/>
    </row>
    <row r="46" spans="1:41">
      <c r="A46" s="355">
        <v>0</v>
      </c>
      <c r="B46" s="358">
        <f>ROUNDUP(C37*0.5,0)</f>
        <v>15067</v>
      </c>
      <c r="C46" s="299">
        <f>ROUNDUP(D37*0.5,0)</f>
        <v>5165</v>
      </c>
      <c r="D46" s="362">
        <f>VLOOKUP(J34,A46:B49,2,FALSE)</f>
        <v>4520</v>
      </c>
      <c r="E46" s="362">
        <f>VLOOKUP(J34,A46:C49,3,FALSE)</f>
        <v>1550</v>
      </c>
      <c r="F46" s="27"/>
      <c r="G46" s="28">
        <v>7.75</v>
      </c>
      <c r="H46" s="214" t="s">
        <v>101</v>
      </c>
      <c r="I46" s="212">
        <f>$I$37-ROUNDDOWN($I$37/4,0)-ROUNDUP(($I$37-ROUNDDOWN($I$37/4,0))*0.7,0)</f>
        <v>6695</v>
      </c>
      <c r="J46" s="212">
        <f>$J$37-ROUNDDOWN($J$37/4,0)-ROUNDUP(($J$37-ROUNDDOWN($J$37/4,0))*0.7,0)</f>
        <v>2295</v>
      </c>
      <c r="K46" s="214" t="s">
        <v>114</v>
      </c>
      <c r="L46" s="27"/>
      <c r="M46" s="29"/>
      <c r="N46" s="8"/>
      <c r="O46" s="8"/>
      <c r="P46" s="8"/>
      <c r="Q46" s="8"/>
      <c r="R46" s="12"/>
      <c r="S46" s="12"/>
      <c r="T46" s="12"/>
      <c r="U46" s="12"/>
      <c r="V46" s="321"/>
      <c r="W46" s="321"/>
      <c r="X46" s="321"/>
      <c r="Y46" s="321"/>
      <c r="Z46" s="321"/>
      <c r="AA46" s="321"/>
      <c r="AB46" s="321"/>
      <c r="AC46" s="321"/>
      <c r="AD46" s="321"/>
      <c r="AE46" s="321"/>
      <c r="AF46" s="321"/>
      <c r="AG46" s="321"/>
      <c r="AH46" s="321"/>
      <c r="AI46" s="321"/>
      <c r="AJ46" s="321"/>
      <c r="AK46" s="321"/>
      <c r="AL46" s="321"/>
      <c r="AM46" s="321"/>
      <c r="AN46" s="321"/>
      <c r="AO46" s="321"/>
    </row>
    <row r="47" spans="1:41">
      <c r="A47" s="355">
        <v>7</v>
      </c>
      <c r="B47" s="358">
        <f t="shared" ref="B47:C49" si="9">ROUNDUP(C38*0.5,0)</f>
        <v>4520</v>
      </c>
      <c r="C47" s="358">
        <f t="shared" si="9"/>
        <v>1550</v>
      </c>
      <c r="D47" s="364"/>
      <c r="E47" s="365">
        <f>COUNTIF(B11:B16,2)</f>
        <v>0</v>
      </c>
      <c r="F47" s="27"/>
      <c r="G47" s="28">
        <v>5.75</v>
      </c>
      <c r="H47" s="214" t="s">
        <v>102</v>
      </c>
      <c r="I47" s="212">
        <f>$I$37-ROUNDDOWN($I$37/4,0)-ROUNDUP(($I$37-ROUNDDOWN($I$37/4,0))*0.5,0)</f>
        <v>11159</v>
      </c>
      <c r="J47" s="212">
        <f>$J$37-ROUNDDOWN($J$37/4,0)-ROUNDUP(($J$37-ROUNDDOWN($J$37/4,0))*0.5,0)</f>
        <v>3825</v>
      </c>
      <c r="K47" s="214" t="s">
        <v>114</v>
      </c>
      <c r="L47" s="27"/>
      <c r="M47" s="29"/>
      <c r="N47" s="8"/>
      <c r="O47" s="8"/>
      <c r="P47" s="8"/>
      <c r="Q47" s="8"/>
      <c r="R47" s="12"/>
      <c r="S47" s="12"/>
      <c r="T47" s="12"/>
      <c r="U47" s="12"/>
      <c r="V47" s="321"/>
      <c r="W47" s="321"/>
      <c r="X47" s="321"/>
      <c r="Y47" s="321"/>
      <c r="Z47" s="321"/>
      <c r="AA47" s="321"/>
      <c r="AB47" s="321"/>
      <c r="AC47" s="321"/>
      <c r="AD47" s="321"/>
      <c r="AE47" s="321"/>
      <c r="AF47" s="321"/>
      <c r="AG47" s="321"/>
      <c r="AH47" s="321"/>
      <c r="AI47" s="321"/>
      <c r="AJ47" s="321"/>
      <c r="AK47" s="321"/>
      <c r="AL47" s="321"/>
      <c r="AM47" s="321"/>
      <c r="AN47" s="321"/>
      <c r="AO47" s="321"/>
    </row>
    <row r="48" spans="1:41">
      <c r="A48" s="355">
        <v>5</v>
      </c>
      <c r="B48" s="358">
        <f t="shared" si="9"/>
        <v>7533</v>
      </c>
      <c r="C48" s="299">
        <f t="shared" si="9"/>
        <v>2583</v>
      </c>
      <c r="D48" s="363" t="s">
        <v>225</v>
      </c>
      <c r="E48" s="363" t="s">
        <v>226</v>
      </c>
      <c r="F48" s="27"/>
      <c r="G48" s="28">
        <v>2.75</v>
      </c>
      <c r="H48" s="215" t="s">
        <v>103</v>
      </c>
      <c r="I48" s="213">
        <f>$I$37-ROUNDDOWN($I$37/4,0)-ROUNDUP(($I$37-ROUNDDOWN($I$37/4,0))*0.2,0)</f>
        <v>17855</v>
      </c>
      <c r="J48" s="213">
        <f>$J$37-ROUNDDOWN($J$37/4,0)-ROUNDUP(($J$37-ROUNDDOWN($J$37/4,0))*0.2,0)</f>
        <v>6120</v>
      </c>
      <c r="K48" s="215" t="s">
        <v>114</v>
      </c>
      <c r="L48" s="27"/>
      <c r="M48" s="29"/>
      <c r="N48" s="8"/>
      <c r="O48" s="8"/>
      <c r="P48" s="8"/>
      <c r="Q48" s="8"/>
      <c r="R48" s="12"/>
      <c r="S48" s="12"/>
      <c r="T48" s="12"/>
      <c r="U48" s="12"/>
      <c r="V48" s="321"/>
      <c r="W48" s="321"/>
      <c r="X48" s="321"/>
      <c r="Y48" s="321"/>
      <c r="Z48" s="321"/>
      <c r="AA48" s="321"/>
      <c r="AB48" s="321"/>
      <c r="AC48" s="321"/>
      <c r="AD48" s="321"/>
      <c r="AE48" s="321"/>
      <c r="AF48" s="321"/>
      <c r="AG48" s="321"/>
      <c r="AH48" s="321"/>
      <c r="AI48" s="321"/>
      <c r="AJ48" s="321"/>
      <c r="AK48" s="321"/>
      <c r="AL48" s="321"/>
      <c r="AM48" s="321"/>
      <c r="AN48" s="321"/>
      <c r="AO48" s="321"/>
    </row>
    <row r="49" spans="1:43" s="354" customFormat="1">
      <c r="A49" s="355">
        <v>2</v>
      </c>
      <c r="B49" s="358">
        <f t="shared" si="9"/>
        <v>12053</v>
      </c>
      <c r="C49" s="299">
        <f t="shared" si="9"/>
        <v>4132</v>
      </c>
      <c r="D49" s="362">
        <f>B44*D46</f>
        <v>0</v>
      </c>
      <c r="E49" s="362">
        <f>B44*E46</f>
        <v>0</v>
      </c>
      <c r="F49" s="27"/>
      <c r="G49" s="29"/>
      <c r="H49" s="357"/>
      <c r="I49" s="216"/>
      <c r="J49" s="216"/>
      <c r="K49" s="357"/>
      <c r="L49" s="27"/>
      <c r="M49" s="29"/>
      <c r="N49" s="8"/>
      <c r="O49" s="8"/>
      <c r="P49" s="8"/>
      <c r="Q49" s="8"/>
      <c r="R49" s="12"/>
      <c r="S49" s="12"/>
      <c r="T49" s="12"/>
      <c r="U49" s="12"/>
      <c r="V49" s="321"/>
      <c r="W49" s="321"/>
      <c r="X49" s="321"/>
      <c r="Y49" s="321"/>
      <c r="Z49" s="321"/>
      <c r="AA49" s="321"/>
      <c r="AB49" s="321"/>
      <c r="AC49" s="321"/>
      <c r="AD49" s="321"/>
      <c r="AE49" s="321"/>
      <c r="AF49" s="321"/>
      <c r="AG49" s="321"/>
      <c r="AH49" s="321"/>
      <c r="AI49" s="321"/>
      <c r="AJ49" s="321"/>
      <c r="AK49" s="321"/>
      <c r="AL49" s="321"/>
      <c r="AM49" s="321"/>
      <c r="AN49" s="321"/>
      <c r="AO49" s="321"/>
    </row>
    <row r="50" spans="1:43">
      <c r="A50" s="27"/>
      <c r="B50" s="27"/>
      <c r="C50" s="27"/>
      <c r="D50" s="27"/>
      <c r="E50" s="27"/>
      <c r="F50" s="27"/>
      <c r="G50" s="29"/>
      <c r="H50" s="29"/>
      <c r="I50" s="216"/>
      <c r="J50" s="216"/>
      <c r="K50" s="29"/>
      <c r="L50" s="222"/>
      <c r="M50" s="222"/>
      <c r="N50" s="223"/>
      <c r="O50" s="223"/>
      <c r="P50" s="223"/>
      <c r="Q50" s="8"/>
      <c r="R50" s="12"/>
      <c r="S50" s="12"/>
      <c r="T50" s="12"/>
      <c r="U50" s="12"/>
      <c r="V50" s="321"/>
      <c r="W50" s="321"/>
      <c r="X50" s="321"/>
      <c r="Y50" s="321"/>
      <c r="Z50" s="321"/>
      <c r="AA50" s="321"/>
      <c r="AB50" s="321"/>
      <c r="AC50" s="321"/>
      <c r="AD50" s="321"/>
      <c r="AE50" s="321"/>
      <c r="AF50" s="321"/>
      <c r="AG50" s="321"/>
      <c r="AH50" s="321"/>
      <c r="AI50" s="321"/>
      <c r="AJ50" s="321"/>
      <c r="AK50" s="321"/>
      <c r="AL50" s="321"/>
      <c r="AM50" s="321"/>
      <c r="AN50" s="321"/>
      <c r="AO50" s="321"/>
    </row>
    <row r="51" spans="1:43" ht="13.5" thickBot="1">
      <c r="A51" s="35"/>
      <c r="B51" s="35" t="s">
        <v>60</v>
      </c>
      <c r="C51" s="35"/>
      <c r="D51" s="35" t="s">
        <v>126</v>
      </c>
      <c r="E51" s="35"/>
      <c r="F51" s="35"/>
      <c r="G51" s="35"/>
      <c r="H51" s="35"/>
      <c r="I51" s="35"/>
      <c r="J51" s="35"/>
      <c r="K51" s="35"/>
      <c r="L51" s="29"/>
      <c r="M51" s="29"/>
      <c r="N51" s="8"/>
      <c r="O51" s="8"/>
      <c r="P51" s="8"/>
      <c r="Q51" s="8"/>
      <c r="R51" s="12"/>
      <c r="S51" s="12"/>
      <c r="T51" s="12"/>
      <c r="U51" s="12"/>
      <c r="V51" s="321"/>
      <c r="W51" s="321"/>
      <c r="X51" s="321"/>
      <c r="Y51" s="321"/>
      <c r="Z51" s="321"/>
      <c r="AA51" s="321"/>
      <c r="AB51" s="321"/>
      <c r="AC51" s="321"/>
      <c r="AD51" s="321"/>
      <c r="AE51" s="321"/>
      <c r="AF51" s="321"/>
      <c r="AG51" s="321"/>
      <c r="AH51" s="321"/>
      <c r="AI51" s="321"/>
      <c r="AJ51" s="321"/>
      <c r="AK51" s="321"/>
      <c r="AL51" s="321"/>
      <c r="AM51" s="321"/>
      <c r="AN51" s="321"/>
      <c r="AO51" s="321"/>
    </row>
    <row r="52" spans="1:43" ht="28.5">
      <c r="A52" s="27"/>
      <c r="B52" s="180" t="s">
        <v>57</v>
      </c>
      <c r="C52" s="225" t="s">
        <v>209</v>
      </c>
      <c r="D52" s="225" t="s">
        <v>212</v>
      </c>
      <c r="E52" s="229" t="s">
        <v>159</v>
      </c>
      <c r="F52" s="230" t="s">
        <v>161</v>
      </c>
      <c r="G52" s="225" t="s">
        <v>160</v>
      </c>
      <c r="H52" s="225" t="s">
        <v>211</v>
      </c>
      <c r="I52" s="231" t="s">
        <v>162</v>
      </c>
      <c r="J52" s="230" t="s">
        <v>208</v>
      </c>
      <c r="K52" s="179" t="s">
        <v>59</v>
      </c>
      <c r="L52" s="181" t="s">
        <v>71</v>
      </c>
      <c r="M52" s="181" t="s">
        <v>33</v>
      </c>
      <c r="N52" s="181" t="s">
        <v>34</v>
      </c>
      <c r="O52" s="181" t="s">
        <v>35</v>
      </c>
      <c r="P52" s="181" t="s">
        <v>36</v>
      </c>
      <c r="Q52" s="181" t="s">
        <v>37</v>
      </c>
      <c r="R52" s="244" t="s">
        <v>198</v>
      </c>
      <c r="S52" s="27"/>
      <c r="T52" s="29"/>
      <c r="U52" s="8"/>
      <c r="V52" s="8"/>
      <c r="W52" s="8"/>
      <c r="X52" s="321"/>
      <c r="Y52" s="321"/>
      <c r="Z52" s="321"/>
      <c r="AA52" s="321"/>
      <c r="AB52" s="321"/>
      <c r="AC52" s="321"/>
      <c r="AD52" s="321"/>
      <c r="AE52" s="321"/>
      <c r="AF52" s="321"/>
      <c r="AG52" s="321"/>
      <c r="AH52" s="321"/>
      <c r="AI52" s="321"/>
      <c r="AJ52" s="321"/>
      <c r="AK52" s="321"/>
      <c r="AL52" s="321"/>
      <c r="AM52" s="321"/>
      <c r="AN52" s="321"/>
      <c r="AO52" s="321"/>
      <c r="AP52" s="321"/>
      <c r="AQ52" s="321"/>
    </row>
    <row r="53" spans="1:43">
      <c r="A53" s="181" t="s">
        <v>32</v>
      </c>
      <c r="B53" s="182">
        <f t="shared" ref="B53:B58" si="10">L11</f>
        <v>0</v>
      </c>
      <c r="C53" s="226">
        <f>IF($I$53=0,$J$53-$F$53-G53,$I$53)</f>
        <v>0</v>
      </c>
      <c r="D53" s="342">
        <f>IF($I53=0,$J53-$F53-H53,$I53)</f>
        <v>0</v>
      </c>
      <c r="E53" s="333" t="b">
        <v>0</v>
      </c>
      <c r="F53" s="219">
        <f t="shared" ref="F53:F58" si="11">IF(B53&lt;&gt;0,IF(E53=TRUE,IF(B53&gt;8500000,(IF(B53&gt;10^7,10^7,B53)-8500000)*0.1),0),0)</f>
        <v>0</v>
      </c>
      <c r="G53" s="226">
        <f>IF(AND($J$53-$F$53&gt;0,C71&gt;0,$J$53-$F$53+C71&gt;10^5),IF($J$53-$F$53&gt;10^5,10^5,$J$53-$F$53)+IF(C71&gt;10^5,10^5,C71)-100000,0)</f>
        <v>0</v>
      </c>
      <c r="H53" s="342">
        <f>IF(AND($J53-$F53&gt;0,B76&gt;0,$J53-$F53+B76&gt;10^5),IF($J53-$F53&gt;10^5,10^5,$J53-$F53)+IF(B76&gt;10^5,10^5,B76)-100000,0)</f>
        <v>0</v>
      </c>
      <c r="I53" s="330">
        <v>0</v>
      </c>
      <c r="J53" s="72">
        <f>IF(C11=TRUE,ROUNDDOWN(VLOOKUP(B53,$K$53:L$63,2,TRUE)*0.3,0),VLOOKUP(B53,$K$53:L$63,2,TRUE))</f>
        <v>0</v>
      </c>
      <c r="K53" s="31">
        <v>0</v>
      </c>
      <c r="L53" s="75">
        <f>IF($B$53&lt;$K$54,0,"-")</f>
        <v>0</v>
      </c>
      <c r="M53" s="75">
        <f>IF($B$54&lt;$K$54,0,"-")</f>
        <v>0</v>
      </c>
      <c r="N53" s="75">
        <f>IF($B$55&lt;$K$54,0,"-")</f>
        <v>0</v>
      </c>
      <c r="O53" s="75">
        <f>IF($B$56&lt;$K$54,0,"-")</f>
        <v>0</v>
      </c>
      <c r="P53" s="75">
        <f>IF($B$57&lt;$K$54,0,"-")</f>
        <v>0</v>
      </c>
      <c r="Q53" s="75">
        <f>IF($B$58&lt;$K$54,0,"-")</f>
        <v>0</v>
      </c>
      <c r="R53" s="185">
        <f t="shared" ref="R53:R58" si="12">IF(B53&gt;550000,1,0)</f>
        <v>0</v>
      </c>
      <c r="S53" s="27"/>
      <c r="T53" s="27"/>
      <c r="U53" s="12"/>
      <c r="V53" s="12"/>
      <c r="W53" s="12"/>
      <c r="X53" s="321"/>
      <c r="Y53" s="321"/>
      <c r="Z53" s="321"/>
      <c r="AA53" s="321"/>
      <c r="AB53" s="321"/>
      <c r="AC53" s="321"/>
      <c r="AD53" s="321"/>
      <c r="AE53" s="321"/>
      <c r="AF53" s="321"/>
      <c r="AG53" s="321"/>
      <c r="AH53" s="321"/>
      <c r="AI53" s="321"/>
      <c r="AJ53" s="321"/>
      <c r="AK53" s="321"/>
      <c r="AL53" s="321"/>
      <c r="AM53" s="321"/>
      <c r="AN53" s="321"/>
      <c r="AO53" s="321"/>
      <c r="AP53" s="321"/>
      <c r="AQ53" s="321"/>
    </row>
    <row r="54" spans="1:43">
      <c r="A54" s="181" t="s">
        <v>33</v>
      </c>
      <c r="B54" s="183">
        <f t="shared" si="10"/>
        <v>0</v>
      </c>
      <c r="C54" s="227">
        <f>IF(I54=0,J54-F54-G54,I54)</f>
        <v>0</v>
      </c>
      <c r="D54" s="343">
        <f>IF($I54=0,$J54-$F54-H54,$I54)</f>
        <v>0</v>
      </c>
      <c r="E54" s="333" t="b">
        <v>0</v>
      </c>
      <c r="F54" s="220">
        <f t="shared" si="11"/>
        <v>0</v>
      </c>
      <c r="G54" s="227">
        <f>IF(AND(J54-F54&gt;0,C80&gt;0,J54-F54+C80&gt;10^5),IF(J54-F54&gt;10^5,10^5,J54-F54)+IF(C80&gt;10^5,10^5,C80)-100000,0)</f>
        <v>0</v>
      </c>
      <c r="H54" s="343">
        <f>IF(AND($J54-$F54&gt;0,B85&gt;0,$J54-$F54+B85&gt;10^5),IF($J54-$F54&gt;10^5,10^5,$J54-$F54)+IF(B85&gt;10^5,10^5,B85)-100000,0)</f>
        <v>0</v>
      </c>
      <c r="I54" s="331">
        <v>0</v>
      </c>
      <c r="J54" s="73">
        <f>IF(C12=TRUE,ROUNDDOWN(VLOOKUP(B54,$K$53:M$63,3,TRUE)*0.3,0),VLOOKUP(B54,$K$53:M$63,3,TRUE))</f>
        <v>0</v>
      </c>
      <c r="K54" s="32">
        <v>551000</v>
      </c>
      <c r="L54" s="76" t="str">
        <f>IF(AND($B53&gt;=$K54,$B53&lt;$K55),$B53-550000,"-")</f>
        <v>-</v>
      </c>
      <c r="M54" s="76" t="str">
        <f>IF(AND($B54&gt;=$K54,$B54&lt;$K55),$B54-550000,"-")</f>
        <v>-</v>
      </c>
      <c r="N54" s="76" t="str">
        <f>IF(AND($B55&gt;=$K54,$B55&lt;$K55),$B55-550000,"-")</f>
        <v>-</v>
      </c>
      <c r="O54" s="76" t="str">
        <f>IF(AND($B56&gt;=$K54,$B56&lt;$K55),$B56-550000,"-")</f>
        <v>-</v>
      </c>
      <c r="P54" s="76" t="str">
        <f>IF(AND($B57&gt;=$K54,$B57&lt;$K55),$B57-550000,"-")</f>
        <v>-</v>
      </c>
      <c r="Q54" s="76" t="str">
        <f>IF(AND($B58&gt;=$K54,$B58&lt;$K55),$B58-550000,"-")</f>
        <v>-</v>
      </c>
      <c r="R54" s="186">
        <f t="shared" si="12"/>
        <v>0</v>
      </c>
      <c r="S54" s="27"/>
      <c r="T54" s="27"/>
      <c r="U54" s="12"/>
      <c r="V54" s="12"/>
      <c r="W54" s="12"/>
      <c r="X54" s="321"/>
      <c r="Y54" s="321"/>
      <c r="Z54" s="321"/>
      <c r="AA54" s="321"/>
      <c r="AB54" s="321"/>
      <c r="AC54" s="321"/>
      <c r="AD54" s="321"/>
      <c r="AE54" s="321"/>
      <c r="AF54" s="321"/>
      <c r="AG54" s="321"/>
      <c r="AH54" s="321"/>
      <c r="AI54" s="321"/>
      <c r="AJ54" s="321"/>
      <c r="AK54" s="321"/>
      <c r="AL54" s="321"/>
      <c r="AM54" s="321"/>
      <c r="AN54" s="321"/>
      <c r="AO54" s="321"/>
      <c r="AP54" s="321"/>
      <c r="AQ54" s="321"/>
    </row>
    <row r="55" spans="1:43">
      <c r="A55" s="181" t="s">
        <v>34</v>
      </c>
      <c r="B55" s="183">
        <f t="shared" si="10"/>
        <v>0</v>
      </c>
      <c r="C55" s="227">
        <f>IF(I55=0,J55-F55-G55,I55)</f>
        <v>0</v>
      </c>
      <c r="D55" s="343">
        <f t="shared" ref="D55:D57" si="13">IF($I55=0,$J55-$F55-H55,$I55)</f>
        <v>0</v>
      </c>
      <c r="E55" s="333" t="b">
        <v>0</v>
      </c>
      <c r="F55" s="220">
        <f t="shared" si="11"/>
        <v>0</v>
      </c>
      <c r="G55" s="227">
        <f>IF(AND(J55-F55&gt;0,C89&gt;0,J55-F55+C89&gt;10^5),IF(J55-F55&gt;10^5,10^5,J55-F55)+IF(C89&gt;10^5,10^5,C89)-100000,0)</f>
        <v>0</v>
      </c>
      <c r="H55" s="343">
        <f>IF(AND($J55-$F55&gt;0,B94&gt;0,$J55-$F55+B94&gt;10^5),IF($J55-$F55&gt;10^5,10^5,$J55-$F55)+IF(B94&gt;10^5,10^5,B94)-100000,0)</f>
        <v>0</v>
      </c>
      <c r="I55" s="331">
        <v>0</v>
      </c>
      <c r="J55" s="73">
        <f>IF(C13=TRUE,ROUNDDOWN(VLOOKUP(B55,$K$53:N$63,4,TRUE)*0.3,0),VLOOKUP(B55,$K$53:N$63,4,TRUE))</f>
        <v>0</v>
      </c>
      <c r="K55" s="32">
        <v>1619000</v>
      </c>
      <c r="L55" s="76" t="str">
        <f>IF(AND($B$53&gt;=$K55,$B$53&lt;$K56),1069000,"-")</f>
        <v>-</v>
      </c>
      <c r="M55" s="76" t="str">
        <f>IF(AND($B$54&gt;=$K55,$B$54&lt;$K56),1069000,"-")</f>
        <v>-</v>
      </c>
      <c r="N55" s="76" t="str">
        <f>IF(AND($B$55&gt;=$K55,$B$55&lt;$K56),1069000,"-")</f>
        <v>-</v>
      </c>
      <c r="O55" s="76" t="str">
        <f>IF(AND($B$56&gt;=$K55,$B$56&lt;$K56),1069000,"-")</f>
        <v>-</v>
      </c>
      <c r="P55" s="76" t="str">
        <f>IF(AND($B$57&gt;=$K55,$B$57&lt;$K56),1069000,"-")</f>
        <v>-</v>
      </c>
      <c r="Q55" s="76" t="str">
        <f>IF(AND($B$58&gt;=$K55,$B$58&lt;$K56),1069000,"-")</f>
        <v>-</v>
      </c>
      <c r="R55" s="186">
        <f t="shared" si="12"/>
        <v>0</v>
      </c>
      <c r="S55" s="27"/>
      <c r="T55" s="27"/>
      <c r="U55" s="12"/>
      <c r="V55" s="12"/>
      <c r="W55" s="12"/>
      <c r="X55" s="321"/>
      <c r="Y55" s="321"/>
      <c r="Z55" s="321"/>
      <c r="AA55" s="321"/>
      <c r="AB55" s="321"/>
      <c r="AC55" s="321"/>
      <c r="AD55" s="321"/>
      <c r="AE55" s="321"/>
      <c r="AF55" s="321"/>
      <c r="AG55" s="321"/>
      <c r="AH55" s="321"/>
      <c r="AI55" s="321"/>
      <c r="AJ55" s="321"/>
      <c r="AK55" s="321"/>
      <c r="AL55" s="321"/>
      <c r="AM55" s="321"/>
      <c r="AN55" s="321"/>
      <c r="AO55" s="321"/>
      <c r="AP55" s="321"/>
      <c r="AQ55" s="321"/>
    </row>
    <row r="56" spans="1:43">
      <c r="A56" s="181" t="s">
        <v>35</v>
      </c>
      <c r="B56" s="183">
        <f t="shared" si="10"/>
        <v>0</v>
      </c>
      <c r="C56" s="227">
        <f>IF(I56=0,J56-F56-G56,I56)</f>
        <v>0</v>
      </c>
      <c r="D56" s="343">
        <f t="shared" si="13"/>
        <v>0</v>
      </c>
      <c r="E56" s="333" t="b">
        <v>0</v>
      </c>
      <c r="F56" s="220">
        <f t="shared" si="11"/>
        <v>0</v>
      </c>
      <c r="G56" s="227">
        <f>IF(AND(J56-F56&gt;0,C98&gt;0,J56-F56+C98&gt;10^5),IF(J56-F56&gt;10^5,10^5,J56-F56)+IF(C98&gt;10^5,10^5,C98)-100000,0)</f>
        <v>0</v>
      </c>
      <c r="H56" s="343">
        <f>IF(AND($J56-$F56&gt;0,B103&gt;0,$J56-$F56+B103&gt;10^5),IF($J56-$F56&gt;10^5,10^5,$J56-$F56)+IF(B103&gt;10^5,10^5,B103)-100000,0)</f>
        <v>0</v>
      </c>
      <c r="I56" s="331">
        <v>0</v>
      </c>
      <c r="J56" s="73">
        <f>IF(C14=TRUE,ROUNDDOWN(VLOOKUP(B56,$K$53:O$63,5,TRUE)*0.3,0),VLOOKUP(B56,$K$53:O$63,5,TRUE))</f>
        <v>0</v>
      </c>
      <c r="K56" s="32">
        <v>1620000</v>
      </c>
      <c r="L56" s="76" t="str">
        <f>IF(AND($B$53&gt;=$K56,$B$53&lt;$K57),1070000,"-")</f>
        <v>-</v>
      </c>
      <c r="M56" s="76" t="str">
        <f>IF(AND($B$54&gt;=$K56,$B$54&lt;$K57),1070000,"-")</f>
        <v>-</v>
      </c>
      <c r="N56" s="76" t="str">
        <f>IF(AND($B$55&gt;=$K56,$B$55&lt;$K57),1070000,"-")</f>
        <v>-</v>
      </c>
      <c r="O56" s="76" t="str">
        <f>IF(AND($B$56&gt;=$K56,$B$56&lt;$K57),1070000,"-")</f>
        <v>-</v>
      </c>
      <c r="P56" s="76" t="str">
        <f>IF(AND($B$57&gt;=$K56,$B$57&lt;$K57),1070000,"-")</f>
        <v>-</v>
      </c>
      <c r="Q56" s="76" t="str">
        <f>IF(AND($B$58&gt;=$K56,$B$58&lt;$K57),1070000,"-")</f>
        <v>-</v>
      </c>
      <c r="R56" s="186">
        <f t="shared" si="12"/>
        <v>0</v>
      </c>
      <c r="S56" s="27"/>
      <c r="T56" s="27"/>
      <c r="U56" s="12"/>
      <c r="V56" s="12"/>
      <c r="W56" s="12"/>
      <c r="X56" s="321"/>
      <c r="Y56" s="321"/>
      <c r="Z56" s="321"/>
      <c r="AA56" s="321"/>
      <c r="AB56" s="321"/>
      <c r="AC56" s="321"/>
      <c r="AD56" s="321"/>
      <c r="AE56" s="321"/>
      <c r="AF56" s="321"/>
      <c r="AG56" s="321"/>
      <c r="AH56" s="321"/>
      <c r="AI56" s="321"/>
      <c r="AJ56" s="321"/>
      <c r="AK56" s="321"/>
      <c r="AL56" s="321"/>
      <c r="AM56" s="321"/>
      <c r="AN56" s="321"/>
      <c r="AO56" s="321"/>
      <c r="AP56" s="321"/>
      <c r="AQ56" s="321"/>
    </row>
    <row r="57" spans="1:43">
      <c r="A57" s="181" t="s">
        <v>36</v>
      </c>
      <c r="B57" s="183">
        <f t="shared" si="10"/>
        <v>0</v>
      </c>
      <c r="C57" s="227">
        <f>IF(I57=0,J57-F57-G57,I57)</f>
        <v>0</v>
      </c>
      <c r="D57" s="343">
        <f t="shared" si="13"/>
        <v>0</v>
      </c>
      <c r="E57" s="333" t="b">
        <v>0</v>
      </c>
      <c r="F57" s="220">
        <f t="shared" si="11"/>
        <v>0</v>
      </c>
      <c r="G57" s="227">
        <f>IF(AND(J57-F57&gt;0,C107&gt;0,J57-F57+C107&gt;10^5),IF(J57-F57&gt;10^5,10^5,J57-F57)+IF(C107&gt;10^5,10^5,C107)-100000,0)</f>
        <v>0</v>
      </c>
      <c r="H57" s="343">
        <f>IF(AND($J57-$F57&gt;0,B112&gt;0,$J57-$F57+B112&gt;10^5),IF($J57-$F57&gt;10^5,10^5,$J57-$F57)+IF(B112&gt;10^5,10^5,B112)-100000,0)</f>
        <v>0</v>
      </c>
      <c r="I57" s="331">
        <v>0</v>
      </c>
      <c r="J57" s="73">
        <f>IF(C15=TRUE,ROUNDDOWN(VLOOKUP(B57,$K$53:P$63,6,TRUE)*0.3,0),VLOOKUP(B57,$K$53:P$63,6,TRUE))</f>
        <v>0</v>
      </c>
      <c r="K57" s="32">
        <v>1622000</v>
      </c>
      <c r="L57" s="76" t="str">
        <f>IF(AND($B$53&gt;=$K57,$B$53&lt;$K58),1072000,"-")</f>
        <v>-</v>
      </c>
      <c r="M57" s="76" t="str">
        <f>IF(AND($B$54&gt;=$K57,$B$54&lt;$K58),1072000,"-")</f>
        <v>-</v>
      </c>
      <c r="N57" s="76" t="str">
        <f>IF(AND($B$55&gt;=$K57,$B$55&lt;$K58),1072000,"-")</f>
        <v>-</v>
      </c>
      <c r="O57" s="76" t="str">
        <f>IF(AND($B$56&gt;=$K57,$B$56&lt;$K58),1072000,"-")</f>
        <v>-</v>
      </c>
      <c r="P57" s="76" t="str">
        <f>IF(AND($B$57&gt;=$K57,$B$57&lt;$K58),1072000,"-")</f>
        <v>-</v>
      </c>
      <c r="Q57" s="76" t="str">
        <f>IF(AND($B$58&gt;=$K57,$B$58&lt;$K58),1072000,"-")</f>
        <v>-</v>
      </c>
      <c r="R57" s="186">
        <f t="shared" si="12"/>
        <v>0</v>
      </c>
      <c r="S57" s="27"/>
      <c r="T57" s="27"/>
      <c r="U57" s="12"/>
      <c r="V57" s="12"/>
      <c r="W57" s="12"/>
      <c r="X57" s="321"/>
      <c r="Y57" s="321"/>
      <c r="Z57" s="321"/>
      <c r="AA57" s="321"/>
      <c r="AB57" s="321"/>
      <c r="AC57" s="321"/>
      <c r="AD57" s="321"/>
      <c r="AE57" s="321"/>
      <c r="AF57" s="321"/>
      <c r="AG57" s="321"/>
      <c r="AH57" s="321"/>
      <c r="AI57" s="321"/>
      <c r="AJ57" s="321"/>
      <c r="AK57" s="321"/>
      <c r="AL57" s="321"/>
      <c r="AM57" s="321"/>
      <c r="AN57" s="321"/>
      <c r="AO57" s="321"/>
      <c r="AP57" s="321"/>
      <c r="AQ57" s="321"/>
    </row>
    <row r="58" spans="1:43" ht="13.5" thickBot="1">
      <c r="A58" s="181" t="s">
        <v>37</v>
      </c>
      <c r="B58" s="184">
        <f t="shared" si="10"/>
        <v>0</v>
      </c>
      <c r="C58" s="228">
        <f>IF(I58=0,J58-F58-G58,I58)</f>
        <v>0</v>
      </c>
      <c r="D58" s="344">
        <f>IF($I58=0,$J58-$F58-H58,$I58)</f>
        <v>0</v>
      </c>
      <c r="E58" s="334" t="b">
        <v>0</v>
      </c>
      <c r="F58" s="221">
        <f t="shared" si="11"/>
        <v>0</v>
      </c>
      <c r="G58" s="228">
        <f>IF(AND(J58-F58&gt;0,C116&gt;0,J58-F58+C116&gt;10^5),IF(J58-F58&gt;10^5,10^5,J58-F58)+IF(C116&gt;10^5,10^5,C116)-100000,0)</f>
        <v>0</v>
      </c>
      <c r="H58" s="344">
        <f>IF(AND($J58-$F58&gt;0,B121&gt;0,$J58-$F58+B121&gt;10^5),IF($J58-$F58&gt;10^5,10^5,$J58-$F58)+IF(B121&gt;10^5,10^5,B121)-100000,0)</f>
        <v>0</v>
      </c>
      <c r="I58" s="332">
        <v>0</v>
      </c>
      <c r="J58" s="74">
        <f>IF(C16=TRUE,ROUNDDOWN(VLOOKUP(B58,$K$53:Q$63,7,TRUE)*0.3,0),VLOOKUP(B58,$K$53:Q$63,7,TRUE))</f>
        <v>0</v>
      </c>
      <c r="K58" s="32">
        <v>1624000</v>
      </c>
      <c r="L58" s="76" t="str">
        <f>IF(AND($B$53&gt;=$K58,$B$53&lt;$K59),1074000,"-")</f>
        <v>-</v>
      </c>
      <c r="M58" s="76" t="str">
        <f>IF(AND($B$54&gt;=$K58,$B$54&lt;$K59),1074000,"-")</f>
        <v>-</v>
      </c>
      <c r="N58" s="76" t="str">
        <f>IF(AND($B$55&gt;=$K58,$B$55&lt;$K59),1074000,"-")</f>
        <v>-</v>
      </c>
      <c r="O58" s="76" t="str">
        <f>IF(AND($B$56&gt;=$K58,$B$56&lt;$K59),1074000,"-")</f>
        <v>-</v>
      </c>
      <c r="P58" s="76" t="str">
        <f>IF(AND($B$57&gt;=$K58,$B$57&lt;$K59),1074000,"-")</f>
        <v>-</v>
      </c>
      <c r="Q58" s="76" t="str">
        <f>IF(AND($B$58&gt;=$K58,$B$58&lt;$K59),1074000,"-")</f>
        <v>-</v>
      </c>
      <c r="R58" s="187">
        <f t="shared" si="12"/>
        <v>0</v>
      </c>
      <c r="S58" s="27"/>
      <c r="T58" s="27"/>
      <c r="U58" s="12"/>
      <c r="V58" s="12"/>
      <c r="W58" s="12"/>
      <c r="X58" s="321"/>
      <c r="Y58" s="321"/>
      <c r="Z58" s="321"/>
      <c r="AA58" s="321"/>
      <c r="AB58" s="321"/>
      <c r="AC58" s="321"/>
      <c r="AD58" s="321"/>
      <c r="AE58" s="321"/>
      <c r="AF58" s="321"/>
      <c r="AG58" s="321"/>
      <c r="AH58" s="321"/>
      <c r="AI58" s="321"/>
      <c r="AJ58" s="321"/>
      <c r="AK58" s="321"/>
      <c r="AL58" s="321"/>
      <c r="AM58" s="321"/>
      <c r="AN58" s="321"/>
      <c r="AO58" s="321"/>
      <c r="AP58" s="321"/>
      <c r="AQ58" s="321"/>
    </row>
    <row r="59" spans="1:43" s="177" customFormat="1">
      <c r="A59" s="248"/>
      <c r="B59" s="246"/>
      <c r="C59" s="246"/>
      <c r="D59" s="246"/>
      <c r="E59" s="246"/>
      <c r="F59" s="246"/>
      <c r="G59" s="246"/>
      <c r="H59" s="246"/>
      <c r="I59" s="246"/>
      <c r="J59" s="246"/>
      <c r="K59" s="32">
        <v>1628000</v>
      </c>
      <c r="L59" s="178" t="str">
        <f>IF(AND($B$53&gt;=$K$59,$B$53&lt;$K$60),ROUNDDOWN($B$53/4,-3)*2.4+100000,"-")</f>
        <v>-</v>
      </c>
      <c r="M59" s="178" t="str">
        <f>IF(AND($B$54&gt;=$K$59,$B$54&lt;$K$60),ROUNDDOWN($B$54/4,-3)*2.4+100000,"-")</f>
        <v>-</v>
      </c>
      <c r="N59" s="178" t="str">
        <f>IF(AND($B$55&gt;=$K$59,$B$55&lt;$K$60),ROUNDDOWN($B$55/4,-3)*2.4+100000,"-")</f>
        <v>-</v>
      </c>
      <c r="O59" s="178" t="str">
        <f>IF(AND($B$56&gt;=$K$59,$B$56&lt;$K$60),ROUNDDOWN($B$56/4,-3)*2.4+100000,"-")</f>
        <v>-</v>
      </c>
      <c r="P59" s="178" t="str">
        <f>IF(AND($B$57&gt;=$K$59,$B$57&lt;$K$60),ROUNDDOWN($B$57/4,-3)*2.4+100000,"-")</f>
        <v>-</v>
      </c>
      <c r="Q59" s="178" t="str">
        <f>IF(AND($B$58&gt;=$K$59,$B$58&lt;$K$60),ROUNDDOWN($B$58/4,-3)*2.4+100000,"-")</f>
        <v>-</v>
      </c>
      <c r="R59" s="246"/>
      <c r="S59" s="27"/>
      <c r="T59" s="27"/>
      <c r="U59" s="12"/>
      <c r="V59" s="12"/>
      <c r="W59" s="12"/>
      <c r="X59" s="321"/>
      <c r="Y59" s="321"/>
      <c r="Z59" s="321"/>
      <c r="AA59" s="321"/>
      <c r="AB59" s="321"/>
      <c r="AC59" s="321"/>
      <c r="AD59" s="321"/>
      <c r="AE59" s="321"/>
      <c r="AF59" s="321"/>
      <c r="AG59" s="321"/>
      <c r="AH59" s="321"/>
      <c r="AI59" s="321"/>
      <c r="AJ59" s="321"/>
      <c r="AK59" s="321"/>
      <c r="AL59" s="321"/>
      <c r="AM59" s="321"/>
      <c r="AN59" s="321"/>
      <c r="AO59" s="321"/>
      <c r="AP59" s="321"/>
      <c r="AQ59" s="321"/>
    </row>
    <row r="60" spans="1:43" s="177" customFormat="1">
      <c r="A60" s="248"/>
      <c r="B60" s="246"/>
      <c r="C60" s="246"/>
      <c r="D60" s="246"/>
      <c r="E60" s="246"/>
      <c r="F60" s="246"/>
      <c r="G60" s="246"/>
      <c r="H60" s="246"/>
      <c r="I60" s="246"/>
      <c r="J60" s="246"/>
      <c r="K60" s="32">
        <v>1800000</v>
      </c>
      <c r="L60" s="178" t="str">
        <f>IF(AND($B$53&gt;=$K$60,$B$53&lt;$K$61),ROUNDDOWN($B$53/4,-3)*2.8-80000,"-")</f>
        <v>-</v>
      </c>
      <c r="M60" s="178" t="str">
        <f>IF(AND($B$54&gt;=$K$60,$B$54&lt;$K$61),ROUNDDOWN($B$54/4,-3)*2.8-80000,"-")</f>
        <v>-</v>
      </c>
      <c r="N60" s="178" t="str">
        <f>IF(AND($B$55&gt;=$K$60,$B$55&lt;$K$61),ROUNDDOWN($B$55/4,-3)*2.8-80000,"-")</f>
        <v>-</v>
      </c>
      <c r="O60" s="178" t="str">
        <f>IF(AND($B$56&gt;=$K$60,$B$56&lt;$K$61),ROUNDDOWN($B$56/4,-3)*2.8-80000,"-")</f>
        <v>-</v>
      </c>
      <c r="P60" s="178" t="str">
        <f>IF(AND($B$57&gt;=$K$60,$B$57&lt;$K$61),ROUNDDOWN($B$57/4,-3)*2.8-80000,"-")</f>
        <v>-</v>
      </c>
      <c r="Q60" s="178" t="str">
        <f>IF(AND($B$58&gt;=$K$60,$B$58&lt;$K$61),ROUNDDOWN($B$58/4,-3)*2.8-80000,"-")</f>
        <v>-</v>
      </c>
      <c r="R60" s="27"/>
      <c r="S60" s="27"/>
      <c r="T60" s="27"/>
      <c r="U60" s="12"/>
      <c r="V60" s="12"/>
      <c r="W60" s="12"/>
      <c r="X60" s="321"/>
      <c r="Y60" s="321"/>
      <c r="Z60" s="321"/>
      <c r="AA60" s="321"/>
      <c r="AB60" s="321"/>
      <c r="AC60" s="321"/>
      <c r="AD60" s="321"/>
      <c r="AE60" s="321"/>
      <c r="AF60" s="321"/>
      <c r="AG60" s="321"/>
      <c r="AH60" s="321"/>
      <c r="AI60" s="321"/>
      <c r="AJ60" s="321"/>
      <c r="AK60" s="321"/>
      <c r="AL60" s="321"/>
      <c r="AM60" s="321"/>
      <c r="AN60" s="321"/>
      <c r="AO60" s="321"/>
      <c r="AP60" s="321"/>
      <c r="AQ60" s="321"/>
    </row>
    <row r="61" spans="1:43" s="177" customFormat="1">
      <c r="A61" s="248"/>
      <c r="B61" s="246"/>
      <c r="C61" s="246"/>
      <c r="D61" s="246"/>
      <c r="E61" s="246"/>
      <c r="F61" s="246"/>
      <c r="G61" s="246"/>
      <c r="H61" s="246"/>
      <c r="I61" s="246"/>
      <c r="J61" s="246"/>
      <c r="K61" s="32">
        <v>3600000</v>
      </c>
      <c r="L61" s="178" t="str">
        <f>IF(AND($B$53&gt;=$K$61,$B$53&lt;$K$62),ROUNDDOWN($B$53/4,-3)*3.2-440000,"-")</f>
        <v>-</v>
      </c>
      <c r="M61" s="178" t="str">
        <f>IF(AND($B$54&gt;=$K$61,$B$54&lt;$K$62),ROUNDDOWN($B$54/4,-3)*3.2-440000,"-")</f>
        <v>-</v>
      </c>
      <c r="N61" s="178" t="str">
        <f>IF(AND($B$55&gt;=$K$61,$B$55&lt;$K$62),ROUNDDOWN($B$55/4,-3)*3.2-440000,"-")</f>
        <v>-</v>
      </c>
      <c r="O61" s="178" t="str">
        <f>IF(AND($B$56&gt;=$K$61,$B$56&lt;$K$62),ROUNDDOWN($B$56/4,-3)*3.2-440000,"-")</f>
        <v>-</v>
      </c>
      <c r="P61" s="178" t="str">
        <f>IF(AND($B$57&gt;=$K$61,$B$57&lt;$K$62),ROUNDDOWN($B$57/4,-3)*3.2-440000,"-")</f>
        <v>-</v>
      </c>
      <c r="Q61" s="178" t="str">
        <f>IF(AND($B$58&gt;=$K$61,$B$58&lt;$K$62),ROUNDDOWN($B$58/4,-3)*3.2-440000,"-")</f>
        <v>-</v>
      </c>
      <c r="R61" s="27"/>
      <c r="S61" s="27"/>
      <c r="T61" s="27"/>
      <c r="U61" s="12"/>
      <c r="V61" s="12"/>
      <c r="W61" s="12"/>
      <c r="X61" s="321"/>
      <c r="Y61" s="321"/>
      <c r="Z61" s="321"/>
      <c r="AA61" s="321"/>
      <c r="AB61" s="321"/>
      <c r="AC61" s="321"/>
      <c r="AD61" s="321"/>
      <c r="AE61" s="321"/>
      <c r="AF61" s="321"/>
      <c r="AG61" s="321"/>
      <c r="AH61" s="321"/>
      <c r="AI61" s="321"/>
      <c r="AJ61" s="321"/>
      <c r="AK61" s="321"/>
      <c r="AL61" s="321"/>
      <c r="AM61" s="321"/>
      <c r="AN61" s="321"/>
      <c r="AO61" s="321"/>
      <c r="AP61" s="321"/>
      <c r="AQ61" s="321"/>
    </row>
    <row r="62" spans="1:43" s="177" customFormat="1">
      <c r="A62" s="248"/>
      <c r="B62" s="246"/>
      <c r="C62" s="246"/>
      <c r="D62" s="246"/>
      <c r="E62" s="246"/>
      <c r="F62" s="246"/>
      <c r="G62" s="246"/>
      <c r="H62" s="246"/>
      <c r="I62" s="246"/>
      <c r="J62" s="246"/>
      <c r="K62" s="32">
        <v>6600000</v>
      </c>
      <c r="L62" s="178" t="str">
        <f>IF(AND($B$53&gt;=$K$62,$B$53&lt;$K$63),ROUNDDOWN($B$53*0.9-1100000,0),"-")</f>
        <v>-</v>
      </c>
      <c r="M62" s="178" t="str">
        <f>IF(AND($B$54&gt;=$K$62,$B$54&lt;$K$63),ROUNDDOWN($B$54*0.9-1100000,0),"-")</f>
        <v>-</v>
      </c>
      <c r="N62" s="178" t="str">
        <f>IF(AND($B$55&gt;=$K$62,$B$55&lt;$K$63),ROUNDDOWN($B$55*0.9-1100000,0),"-")</f>
        <v>-</v>
      </c>
      <c r="O62" s="178" t="str">
        <f>IF(AND($B$56&gt;=$K$62,$B$56&lt;$K$63),ROUNDDOWN($B$56*0.9-1100000,0),"-")</f>
        <v>-</v>
      </c>
      <c r="P62" s="178" t="str">
        <f>IF(AND($B$57&gt;=$K$62,$B$57&lt;$K$63),ROUNDDOWN($B$57*0.9-1100000,0),"-")</f>
        <v>-</v>
      </c>
      <c r="Q62" s="178" t="str">
        <f>IF(AND($B$58&gt;=$K$62,$B$58&lt;$K$63),ROUNDDOWN($B$58*0.9-1100000,0),"-")</f>
        <v>-</v>
      </c>
      <c r="R62" s="27"/>
      <c r="S62" s="27"/>
      <c r="T62" s="27"/>
      <c r="U62" s="12"/>
      <c r="V62" s="12"/>
      <c r="W62" s="12"/>
      <c r="X62" s="321"/>
      <c r="Y62" s="321"/>
      <c r="Z62" s="321"/>
      <c r="AA62" s="321"/>
      <c r="AB62" s="321"/>
      <c r="AC62" s="321"/>
      <c r="AD62" s="321"/>
      <c r="AE62" s="321"/>
      <c r="AF62" s="321"/>
      <c r="AG62" s="321"/>
      <c r="AH62" s="321"/>
      <c r="AI62" s="321"/>
      <c r="AJ62" s="321"/>
      <c r="AK62" s="321"/>
      <c r="AL62" s="321"/>
      <c r="AM62" s="321"/>
      <c r="AN62" s="321"/>
      <c r="AO62" s="321"/>
      <c r="AP62" s="321"/>
      <c r="AQ62" s="321"/>
    </row>
    <row r="63" spans="1:43">
      <c r="A63" s="249"/>
      <c r="B63" s="12"/>
      <c r="C63" s="12"/>
      <c r="D63" s="12"/>
      <c r="E63" s="12"/>
      <c r="F63" s="12"/>
      <c r="G63" s="12"/>
      <c r="H63" s="12"/>
      <c r="I63" s="12"/>
      <c r="J63" s="250"/>
      <c r="K63" s="32">
        <v>8500000</v>
      </c>
      <c r="L63" s="77" t="str">
        <f>IF($B$53&gt;=$K63,$B$53-1950000,"-")</f>
        <v>-</v>
      </c>
      <c r="M63" s="77" t="str">
        <f>IF($B$54&gt;=$K63,$B$54-1950000,"-")</f>
        <v>-</v>
      </c>
      <c r="N63" s="77" t="str">
        <f>IF($B$55&gt;=$K63,$B$55-1950000,"-")</f>
        <v>-</v>
      </c>
      <c r="O63" s="77" t="str">
        <f>IF($B$56&gt;=$K63,$B$56-1950000,"-")</f>
        <v>-</v>
      </c>
      <c r="P63" s="77" t="str">
        <f>IF($B$57&gt;=$K63,$B$57-1950000,"-")</f>
        <v>-</v>
      </c>
      <c r="Q63" s="77" t="str">
        <f>IF($B$58&gt;=$K63,$B$58-1950000,"-")</f>
        <v>-</v>
      </c>
      <c r="R63" s="27"/>
      <c r="S63" s="12"/>
      <c r="T63" s="27"/>
      <c r="U63" s="12"/>
      <c r="V63" s="12"/>
      <c r="W63" s="12"/>
      <c r="X63" s="321"/>
      <c r="Y63" s="321"/>
      <c r="Z63" s="321"/>
      <c r="AA63" s="321"/>
      <c r="AB63" s="321"/>
      <c r="AC63" s="321"/>
      <c r="AD63" s="321"/>
      <c r="AE63" s="321"/>
      <c r="AF63" s="321"/>
      <c r="AG63" s="321"/>
      <c r="AH63" s="321"/>
      <c r="AI63" s="321"/>
      <c r="AJ63" s="321"/>
      <c r="AK63" s="321"/>
      <c r="AL63" s="321"/>
      <c r="AM63" s="321"/>
      <c r="AN63" s="321"/>
      <c r="AO63" s="321"/>
      <c r="AP63" s="321"/>
      <c r="AQ63" s="321"/>
    </row>
    <row r="64" spans="1:43">
      <c r="A64" s="27"/>
      <c r="B64" s="27"/>
      <c r="C64" s="27"/>
      <c r="D64" s="27"/>
      <c r="E64" s="27"/>
      <c r="F64" s="27"/>
      <c r="G64" s="27"/>
      <c r="H64" s="27"/>
      <c r="I64" s="246"/>
      <c r="J64" s="216"/>
      <c r="K64" s="251"/>
      <c r="L64" s="251"/>
      <c r="M64" s="251"/>
      <c r="N64" s="251"/>
      <c r="O64" s="251"/>
      <c r="P64" s="27"/>
      <c r="Q64" s="12"/>
      <c r="R64" s="12"/>
      <c r="S64" s="12"/>
      <c r="T64" s="12"/>
      <c r="U64" s="12"/>
      <c r="V64" s="321"/>
      <c r="W64" s="321"/>
      <c r="X64" s="321"/>
      <c r="Y64" s="321"/>
      <c r="Z64" s="321"/>
      <c r="AA64" s="321"/>
      <c r="AB64" s="321"/>
      <c r="AC64" s="321"/>
      <c r="AD64" s="321"/>
      <c r="AE64" s="321"/>
      <c r="AF64" s="321"/>
      <c r="AG64" s="321"/>
      <c r="AH64" s="321"/>
      <c r="AI64" s="321"/>
      <c r="AJ64" s="321"/>
      <c r="AK64" s="321"/>
      <c r="AL64" s="321"/>
      <c r="AM64" s="321"/>
      <c r="AN64" s="321"/>
      <c r="AO64" s="321"/>
    </row>
    <row r="65" spans="1:41">
      <c r="A65" s="27"/>
      <c r="B65" s="27"/>
      <c r="C65" s="27"/>
      <c r="D65" s="246"/>
      <c r="E65" s="216"/>
      <c r="F65" s="216"/>
      <c r="G65" s="216"/>
      <c r="H65" s="216"/>
      <c r="I65" s="216"/>
      <c r="J65" s="216"/>
      <c r="K65" s="27"/>
      <c r="L65" s="27"/>
      <c r="M65" s="27"/>
      <c r="N65" s="475" t="s">
        <v>197</v>
      </c>
      <c r="O65" s="475"/>
      <c r="P65" s="288">
        <f>SUM(R53:R58)+K67</f>
        <v>0</v>
      </c>
      <c r="Q65" s="12"/>
      <c r="R65" s="12"/>
      <c r="S65" s="12"/>
      <c r="T65" s="12"/>
      <c r="U65" s="12"/>
      <c r="V65" s="321"/>
      <c r="W65" s="321"/>
      <c r="X65" s="321"/>
      <c r="Y65" s="321"/>
      <c r="Z65" s="321"/>
      <c r="AA65" s="321"/>
      <c r="AB65" s="321"/>
      <c r="AC65" s="321"/>
      <c r="AD65" s="321"/>
      <c r="AE65" s="321"/>
      <c r="AF65" s="321"/>
      <c r="AG65" s="321"/>
      <c r="AH65" s="321"/>
      <c r="AI65" s="321"/>
      <c r="AJ65" s="321"/>
      <c r="AK65" s="321"/>
      <c r="AL65" s="321"/>
      <c r="AM65" s="321"/>
      <c r="AN65" s="321"/>
      <c r="AO65" s="321"/>
    </row>
    <row r="66" spans="1:41">
      <c r="A66" s="27"/>
      <c r="B66" s="27"/>
      <c r="C66" s="27"/>
      <c r="D66" s="246"/>
      <c r="E66" s="216"/>
      <c r="F66" s="216"/>
      <c r="G66" s="216"/>
      <c r="H66" s="216"/>
      <c r="I66" s="216"/>
      <c r="J66" s="216"/>
      <c r="K66" s="27"/>
      <c r="L66" s="27"/>
      <c r="M66" s="27"/>
      <c r="N66" s="12"/>
      <c r="O66" s="12"/>
      <c r="P66" s="12"/>
      <c r="Q66" s="12"/>
      <c r="R66" s="12"/>
      <c r="S66" s="12"/>
      <c r="T66" s="12"/>
      <c r="U66" s="12"/>
      <c r="V66" s="321"/>
      <c r="W66" s="321"/>
      <c r="X66" s="321"/>
      <c r="Y66" s="321"/>
      <c r="Z66" s="321"/>
      <c r="AA66" s="321"/>
      <c r="AB66" s="321"/>
      <c r="AC66" s="321"/>
      <c r="AD66" s="321"/>
      <c r="AE66" s="321"/>
      <c r="AF66" s="321"/>
      <c r="AG66" s="321"/>
      <c r="AH66" s="321"/>
      <c r="AI66" s="321"/>
      <c r="AJ66" s="321"/>
      <c r="AK66" s="321"/>
      <c r="AL66" s="321"/>
      <c r="AM66" s="321"/>
      <c r="AN66" s="321"/>
      <c r="AO66" s="321"/>
    </row>
    <row r="67" spans="1:41" ht="19.5" thickBot="1">
      <c r="A67" s="27"/>
      <c r="B67" s="27" t="s">
        <v>63</v>
      </c>
      <c r="C67" s="27"/>
      <c r="D67" s="246"/>
      <c r="E67" s="216"/>
      <c r="F67" s="216"/>
      <c r="G67" s="216"/>
      <c r="H67" s="216"/>
      <c r="I67" s="216"/>
      <c r="J67" s="245" t="s">
        <v>134</v>
      </c>
      <c r="K67" s="253">
        <f>SUM(C72,C81,C90,C99,C108,C117)</f>
        <v>0</v>
      </c>
      <c r="L67" s="27"/>
      <c r="M67" s="27"/>
      <c r="N67" s="12"/>
      <c r="O67" s="12"/>
      <c r="P67" s="12"/>
      <c r="Q67" s="12"/>
      <c r="R67" s="12"/>
      <c r="S67" s="12"/>
      <c r="T67" s="12"/>
      <c r="U67" s="12"/>
      <c r="V67" s="321"/>
      <c r="W67" s="321"/>
      <c r="X67" s="321"/>
      <c r="Y67" s="321"/>
      <c r="Z67" s="321"/>
      <c r="AA67" s="321"/>
      <c r="AB67" s="321"/>
      <c r="AC67" s="321"/>
      <c r="AD67" s="321"/>
      <c r="AE67" s="321"/>
      <c r="AF67" s="321"/>
      <c r="AG67" s="321"/>
      <c r="AH67" s="321"/>
      <c r="AI67" s="321"/>
      <c r="AJ67" s="321"/>
      <c r="AK67" s="321"/>
      <c r="AL67" s="321"/>
      <c r="AM67" s="321"/>
      <c r="AN67" s="321"/>
      <c r="AO67" s="321"/>
    </row>
    <row r="68" spans="1:41" ht="13.5" thickBot="1">
      <c r="A68" s="387" t="s">
        <v>193</v>
      </c>
      <c r="B68" s="319" t="s">
        <v>214</v>
      </c>
      <c r="C68" s="27"/>
      <c r="D68" s="27"/>
      <c r="E68" s="27"/>
      <c r="F68" s="27"/>
      <c r="G68" s="27"/>
      <c r="H68" s="27"/>
      <c r="I68" s="27"/>
      <c r="J68" s="27"/>
      <c r="K68" s="27"/>
      <c r="L68" s="27"/>
      <c r="M68" s="27"/>
      <c r="N68" s="12"/>
      <c r="O68" s="12"/>
      <c r="P68" s="12"/>
      <c r="Q68" s="12"/>
      <c r="R68" s="12"/>
      <c r="S68" s="12"/>
      <c r="T68" s="12"/>
      <c r="U68" s="12"/>
      <c r="V68" s="321"/>
      <c r="W68" s="321"/>
      <c r="X68" s="321"/>
      <c r="Y68" s="321"/>
      <c r="Z68" s="321"/>
      <c r="AA68" s="321"/>
      <c r="AB68" s="321"/>
      <c r="AC68" s="321"/>
      <c r="AD68" s="321"/>
      <c r="AE68" s="321"/>
      <c r="AF68" s="321"/>
      <c r="AG68" s="321"/>
      <c r="AH68" s="321"/>
      <c r="AI68" s="321"/>
      <c r="AJ68" s="321"/>
      <c r="AK68" s="321"/>
      <c r="AL68" s="321"/>
      <c r="AM68" s="321"/>
      <c r="AN68" s="321"/>
      <c r="AO68" s="321"/>
    </row>
    <row r="69" spans="1:41">
      <c r="A69" s="27"/>
      <c r="B69" s="12"/>
      <c r="C69" s="27"/>
      <c r="D69" s="467" t="s">
        <v>128</v>
      </c>
      <c r="E69" s="468"/>
      <c r="F69" s="468"/>
      <c r="G69" s="469"/>
      <c r="H69" s="470" t="s">
        <v>64</v>
      </c>
      <c r="I69" s="471"/>
      <c r="J69" s="471"/>
      <c r="K69" s="472"/>
      <c r="L69" s="27"/>
      <c r="M69" s="27"/>
      <c r="N69" s="12"/>
      <c r="O69" s="12"/>
      <c r="P69" s="12"/>
      <c r="Q69" s="12"/>
      <c r="R69" s="12"/>
      <c r="S69" s="12"/>
      <c r="T69" s="12"/>
      <c r="U69" s="12"/>
      <c r="V69" s="321"/>
      <c r="W69" s="321"/>
      <c r="X69" s="321"/>
      <c r="Y69" s="321"/>
      <c r="Z69" s="321"/>
      <c r="AA69" s="321"/>
      <c r="AB69" s="321"/>
      <c r="AC69" s="321"/>
      <c r="AD69" s="321"/>
      <c r="AE69" s="321"/>
      <c r="AF69" s="321"/>
      <c r="AG69" s="321"/>
      <c r="AH69" s="321"/>
      <c r="AI69" s="321"/>
      <c r="AJ69" s="321"/>
      <c r="AK69" s="321"/>
      <c r="AL69" s="321"/>
      <c r="AM69" s="321"/>
      <c r="AN69" s="321"/>
      <c r="AO69" s="321"/>
    </row>
    <row r="70" spans="1:41">
      <c r="A70" s="27" t="s">
        <v>32</v>
      </c>
      <c r="B70" s="169" t="s">
        <v>61</v>
      </c>
      <c r="C70" s="170" t="s">
        <v>62</v>
      </c>
      <c r="D70" s="171" t="s">
        <v>129</v>
      </c>
      <c r="E70" s="18" t="s">
        <v>131</v>
      </c>
      <c r="F70" s="171" t="s">
        <v>132</v>
      </c>
      <c r="G70" s="173" t="s">
        <v>133</v>
      </c>
      <c r="H70" s="172" t="s">
        <v>130</v>
      </c>
      <c r="I70" s="18" t="s">
        <v>131</v>
      </c>
      <c r="J70" s="171" t="s">
        <v>132</v>
      </c>
      <c r="K70" s="18" t="s">
        <v>133</v>
      </c>
      <c r="L70" s="27"/>
      <c r="M70" s="27"/>
      <c r="N70" s="12"/>
      <c r="O70" s="12"/>
      <c r="P70" s="12"/>
      <c r="Q70" s="12"/>
      <c r="R70" s="12"/>
      <c r="S70" s="12"/>
      <c r="T70" s="12"/>
      <c r="U70" s="12"/>
      <c r="V70" s="321"/>
      <c r="W70" s="321"/>
      <c r="X70" s="321"/>
      <c r="Y70" s="321"/>
      <c r="Z70" s="321"/>
      <c r="AA70" s="321"/>
      <c r="AB70" s="321"/>
      <c r="AC70" s="321"/>
      <c r="AD70" s="321"/>
      <c r="AE70" s="321"/>
      <c r="AF70" s="321"/>
      <c r="AG70" s="321"/>
      <c r="AH70" s="321"/>
      <c r="AI70" s="321"/>
      <c r="AJ70" s="321"/>
      <c r="AK70" s="321"/>
      <c r="AL70" s="321"/>
      <c r="AM70" s="321"/>
      <c r="AN70" s="321"/>
      <c r="AO70" s="321"/>
    </row>
    <row r="71" spans="1:41">
      <c r="A71" s="27"/>
      <c r="B71" s="297">
        <f>N11</f>
        <v>0</v>
      </c>
      <c r="C71" s="298">
        <f>IF(B74=0,IF(C76=1,MAX(E71:E76),IF(C76=2,MAX(F71:F76),MAX(G71:G76))),IF(C76=1,MAX(I71:I76),IF(C76=2,MAX(J71:J76),MAX(K71:K76))))</f>
        <v>0</v>
      </c>
      <c r="D71" s="174">
        <v>0</v>
      </c>
      <c r="E71" s="233">
        <f>IF($B$71&lt;$D$72,0,0)</f>
        <v>0</v>
      </c>
      <c r="F71" s="233">
        <f>IF($B$71&lt;$D$72,$B$71-1000000,0)</f>
        <v>-1000000</v>
      </c>
      <c r="G71" s="234">
        <f>IF($B$71&lt;$D$72,$B$71-900000,0)</f>
        <v>-900000</v>
      </c>
      <c r="H71" s="175">
        <v>0</v>
      </c>
      <c r="I71" s="233">
        <f>IF($B$71&lt;$H$72,0,0)</f>
        <v>0</v>
      </c>
      <c r="J71" s="233">
        <f>IF($B$71&lt;$H$72,$B$71-1000000,0)</f>
        <v>-1000000</v>
      </c>
      <c r="K71" s="233">
        <f>IF($B$71&lt;$H$72,$B$71-900000,0)</f>
        <v>-900000</v>
      </c>
      <c r="L71" s="27"/>
      <c r="M71" s="27"/>
      <c r="N71" s="27"/>
      <c r="O71" s="27"/>
      <c r="P71" s="12"/>
      <c r="Q71" s="12"/>
      <c r="R71" s="12"/>
      <c r="S71" s="12"/>
      <c r="T71" s="12"/>
      <c r="U71" s="12"/>
      <c r="V71" s="321"/>
      <c r="W71" s="321"/>
      <c r="X71" s="321"/>
      <c r="Y71" s="321"/>
      <c r="Z71" s="321"/>
      <c r="AA71" s="321"/>
      <c r="AB71" s="321"/>
      <c r="AC71" s="321"/>
      <c r="AD71" s="321"/>
      <c r="AE71" s="321"/>
      <c r="AF71" s="321"/>
      <c r="AG71" s="321"/>
      <c r="AH71" s="321"/>
      <c r="AI71" s="321"/>
      <c r="AJ71" s="321"/>
      <c r="AK71" s="321"/>
      <c r="AL71" s="321"/>
      <c r="AM71" s="321"/>
      <c r="AN71" s="321"/>
      <c r="AO71" s="321"/>
    </row>
    <row r="72" spans="1:41">
      <c r="A72" s="27"/>
      <c r="B72" s="296" t="s">
        <v>134</v>
      </c>
      <c r="C72" s="27">
        <f>IF(R53=1,0,IF(OR(AND(B74=1,B71&gt;1250000),AND(B74=0,B71&gt;600000)),1,0))</f>
        <v>0</v>
      </c>
      <c r="D72" s="176">
        <v>600001</v>
      </c>
      <c r="E72" s="176">
        <f>IF(AND($B$71&gt;=$D$72,$B$71&lt;$D$73),$B$71-600000,0)</f>
        <v>0</v>
      </c>
      <c r="F72" s="176">
        <f>IF(AND($B$71&gt;=$D$72,$B$71&lt;$D$73),$B$71-500000,0)</f>
        <v>0</v>
      </c>
      <c r="G72" s="235">
        <f>IF(AND($B$71&gt;=$D$72,$B$71&lt;$D$73),$B$71-400000,0)</f>
        <v>0</v>
      </c>
      <c r="H72" s="73">
        <v>1100001</v>
      </c>
      <c r="I72" s="176">
        <f>IF(AND($B$71&gt;=$H$72,$B$71&lt;$H$73),$B$71-1100000,0)</f>
        <v>0</v>
      </c>
      <c r="J72" s="176">
        <f>IF(AND($B$71&gt;=$H$72,$B$71&lt;$H$73),$B$71-1000000,0)</f>
        <v>0</v>
      </c>
      <c r="K72" s="176">
        <f>IF(AND($B$71&gt;=$H$72,$B$71&lt;$H$73),$B$71-900000,0)</f>
        <v>0</v>
      </c>
      <c r="L72" s="27"/>
      <c r="M72" s="27"/>
      <c r="N72" s="27"/>
      <c r="O72" s="27"/>
      <c r="P72" s="12"/>
      <c r="Q72" s="12"/>
      <c r="R72" s="12"/>
      <c r="S72" s="12"/>
      <c r="T72" s="12"/>
      <c r="U72" s="12"/>
      <c r="V72" s="321"/>
      <c r="W72" s="321"/>
      <c r="X72" s="321"/>
      <c r="Y72" s="321"/>
      <c r="Z72" s="321"/>
      <c r="AA72" s="321"/>
      <c r="AB72" s="321"/>
      <c r="AC72" s="321"/>
      <c r="AD72" s="321"/>
      <c r="AE72" s="321"/>
      <c r="AF72" s="321"/>
      <c r="AG72" s="321"/>
      <c r="AH72" s="321"/>
      <c r="AI72" s="321"/>
      <c r="AJ72" s="321"/>
      <c r="AK72" s="321"/>
      <c r="AL72" s="321"/>
      <c r="AM72" s="321"/>
      <c r="AN72" s="321"/>
      <c r="AO72" s="321"/>
    </row>
    <row r="73" spans="1:41" ht="19.5" thickBot="1">
      <c r="A73" s="27"/>
      <c r="B73" s="239" t="s">
        <v>195</v>
      </c>
      <c r="C73" s="243" t="s">
        <v>194</v>
      </c>
      <c r="D73" s="176">
        <v>1300000</v>
      </c>
      <c r="E73" s="176">
        <f>IF(AND($B$71&gt;=$D$73,$B$71&lt;$D$74),ROUNDDOWN($B$71*0.75,0)-275000,0)</f>
        <v>0</v>
      </c>
      <c r="F73" s="176">
        <f>IF(AND($B$71&gt;=$D$73,$B$71&lt;$D$74),ROUNDDOWN($B$71*0.75,0)-175000,0)</f>
        <v>0</v>
      </c>
      <c r="G73" s="235">
        <f>IF(AND($B$71&gt;=$D$73,$B$71&lt;$D$74),ROUNDDOWN($B$71*0.75,0)-75000,0)</f>
        <v>0</v>
      </c>
      <c r="H73" s="73">
        <v>3300000</v>
      </c>
      <c r="I73" s="176">
        <f>IF(AND($B$71&gt;=$H$73,$B$71&lt;$H$74),ROUNDDOWN($B$71*0.75,0)-275000,0)</f>
        <v>0</v>
      </c>
      <c r="J73" s="176">
        <f>IF(AND($B$71&gt;=$H$73,$B$71&lt;$H$74),ROUNDDOWN($B$71*0.75,0)-175000,0)</f>
        <v>0</v>
      </c>
      <c r="K73" s="176">
        <f>IF(AND($B$71&gt;=$H$73,$B$71&lt;$H$74),ROUNDDOWN($B$71*0.75,0)-75000,0)</f>
        <v>0</v>
      </c>
      <c r="L73" s="27"/>
      <c r="M73" s="27"/>
      <c r="N73" s="27"/>
      <c r="O73" s="27"/>
      <c r="P73" s="12"/>
      <c r="Q73" s="12"/>
      <c r="R73" s="12"/>
      <c r="S73" s="12"/>
      <c r="T73" s="12"/>
      <c r="U73" s="12"/>
      <c r="V73" s="321"/>
      <c r="W73" s="321"/>
      <c r="X73" s="321"/>
      <c r="Y73" s="321"/>
      <c r="Z73" s="321"/>
      <c r="AA73" s="321"/>
      <c r="AB73" s="321"/>
      <c r="AC73" s="321"/>
      <c r="AD73" s="321"/>
      <c r="AE73" s="321"/>
      <c r="AF73" s="321"/>
      <c r="AG73" s="321"/>
      <c r="AH73" s="321"/>
      <c r="AI73" s="321"/>
      <c r="AJ73" s="321"/>
      <c r="AK73" s="321"/>
      <c r="AL73" s="321"/>
      <c r="AM73" s="321"/>
      <c r="AN73" s="321"/>
      <c r="AO73" s="321"/>
    </row>
    <row r="74" spans="1:41" ht="13.5" thickBot="1">
      <c r="A74" s="27"/>
      <c r="B74" s="299">
        <f>IF(C74="自動",IF($B$68="生年月日",IF(R20&gt;64,1,0),IF(OR(B11=1,B11&gt;3),1,0)),IF(C74="65歳以上",1,0))</f>
        <v>1</v>
      </c>
      <c r="C74" s="320" t="s">
        <v>219</v>
      </c>
      <c r="D74" s="73">
        <v>4100000</v>
      </c>
      <c r="E74" s="176">
        <f>IF(AND($B$71&gt;=$D$74,$B$71&lt;$D$75),ROUNDDOWN($B$71*0.85,0)-685000,0)</f>
        <v>0</v>
      </c>
      <c r="F74" s="176">
        <f>IF(AND($B$71&gt;=$D$74,$B$71&lt;$D$75),ROUNDDOWN($B$71*0.85,0)-585000,0)</f>
        <v>0</v>
      </c>
      <c r="G74" s="235">
        <f>IF(AND($B$71&gt;=$D$74,$B$71&lt;$D$75),ROUNDDOWN($B$71*0.85,0)-485000,0)</f>
        <v>0</v>
      </c>
      <c r="H74" s="73">
        <v>4100000</v>
      </c>
      <c r="I74" s="176">
        <f>IF(AND($B$71&gt;=$H$74,$B$71&lt;$H$75),ROUNDDOWN($B$71*0.85,0)-685000,0)</f>
        <v>0</v>
      </c>
      <c r="J74" s="176">
        <f>IF(AND($B$71&gt;=$H$74,$B$71&lt;$H$75),ROUNDDOWN($B$71*0.85,0)-585000,0)</f>
        <v>0</v>
      </c>
      <c r="K74" s="176">
        <f>IF(AND($B$71&gt;=$H$74,$B$71&lt;$H$75),ROUNDDOWN($B$71*0.85,0)-485000,0)</f>
        <v>0</v>
      </c>
      <c r="L74" s="27"/>
      <c r="M74" s="27"/>
      <c r="N74" s="27"/>
      <c r="O74" s="27"/>
      <c r="P74" s="12"/>
      <c r="Q74" s="12"/>
      <c r="R74" s="12"/>
      <c r="S74" s="12"/>
      <c r="T74" s="12"/>
      <c r="U74" s="12"/>
      <c r="V74" s="321"/>
      <c r="W74" s="321"/>
      <c r="X74" s="321"/>
      <c r="Y74" s="321"/>
      <c r="Z74" s="321"/>
      <c r="AA74" s="321"/>
      <c r="AB74" s="321"/>
      <c r="AC74" s="321"/>
      <c r="AD74" s="321"/>
      <c r="AE74" s="321"/>
      <c r="AF74" s="321"/>
      <c r="AG74" s="321"/>
      <c r="AH74" s="321"/>
      <c r="AI74" s="321"/>
      <c r="AJ74" s="321"/>
      <c r="AK74" s="321"/>
      <c r="AL74" s="321"/>
      <c r="AM74" s="321"/>
      <c r="AN74" s="321"/>
      <c r="AO74" s="321"/>
    </row>
    <row r="75" spans="1:41" ht="22">
      <c r="A75" s="27"/>
      <c r="B75" s="341" t="s">
        <v>210</v>
      </c>
      <c r="C75" s="300" t="s">
        <v>127</v>
      </c>
      <c r="D75" s="176">
        <v>7700000</v>
      </c>
      <c r="E75" s="176">
        <f>IF(AND($B$71&gt;=$D$75,$B$71&lt;$D$76),ROUNDDOWN($B$71*0.95,0)-1455000,0)</f>
        <v>0</v>
      </c>
      <c r="F75" s="176">
        <f>IF(AND($B$71&gt;=$D$75,$B$71&lt;$D$76),ROUNDDOWN($B$71*0.95,0)-1355000,0)</f>
        <v>0</v>
      </c>
      <c r="G75" s="235">
        <f>IF(AND($B$71&gt;=$D$75,$B$71&lt;$D$76),ROUNDDOWN($B$71*0.95,0)-1255000,0)</f>
        <v>0</v>
      </c>
      <c r="H75" s="73">
        <v>7700000</v>
      </c>
      <c r="I75" s="176">
        <f>IF(AND($B$71&gt;=$H$75,$B$71&lt;$H$76),ROUNDDOWN($B$71*0.95,0)-1455000,0)</f>
        <v>0</v>
      </c>
      <c r="J75" s="176">
        <f>IF(AND($B$71&gt;=$H$75,$B$71&lt;$H$76),ROUNDDOWN($B$71*0.95,0)-1355000,0)</f>
        <v>0</v>
      </c>
      <c r="K75" s="176">
        <f>IF(AND($B$71&gt;=$H$75,$B$71&lt;$H$76),ROUNDDOWN($B$71*0.95,0)-1255000,0)</f>
        <v>0</v>
      </c>
      <c r="L75" s="27"/>
      <c r="M75" s="27"/>
      <c r="N75" s="27"/>
      <c r="O75" s="27"/>
      <c r="P75" s="12"/>
      <c r="Q75" s="12"/>
      <c r="R75" s="12"/>
      <c r="S75" s="12"/>
      <c r="T75" s="12"/>
      <c r="U75" s="12"/>
      <c r="V75" s="321"/>
      <c r="W75" s="321"/>
      <c r="X75" s="321"/>
      <c r="Y75" s="321"/>
      <c r="Z75" s="321"/>
      <c r="AA75" s="321"/>
      <c r="AB75" s="321"/>
      <c r="AC75" s="321"/>
      <c r="AD75" s="321"/>
      <c r="AE75" s="321"/>
      <c r="AF75" s="321"/>
      <c r="AG75" s="321"/>
      <c r="AH75" s="321"/>
      <c r="AI75" s="321"/>
      <c r="AJ75" s="321"/>
      <c r="AK75" s="321"/>
      <c r="AL75" s="321"/>
      <c r="AM75" s="321"/>
      <c r="AN75" s="321"/>
      <c r="AO75" s="321"/>
    </row>
    <row r="76" spans="1:41" s="165" customFormat="1">
      <c r="A76" s="27"/>
      <c r="B76" s="349">
        <f>IF(B74=1,IF(C71-150000&lt;0,0,C71-150000),C71)</f>
        <v>0</v>
      </c>
      <c r="C76" s="28">
        <f>IF(Q11&lt;=10000000,1,IF(Q11&lt;=20000000,2,3))</f>
        <v>1</v>
      </c>
      <c r="D76" s="77">
        <v>10000001</v>
      </c>
      <c r="E76" s="77">
        <f>IF($B$71&gt;=$D$76,$B$71-1955000,0)</f>
        <v>0</v>
      </c>
      <c r="F76" s="77">
        <f>IF($B$71&gt;=$D$76,$B$71-1855000,0)</f>
        <v>0</v>
      </c>
      <c r="G76" s="236">
        <f>IF($B$71&gt;=$D$76,$B$71-1755000,0)</f>
        <v>0</v>
      </c>
      <c r="H76" s="74">
        <v>10000001</v>
      </c>
      <c r="I76" s="77">
        <f>IF($B$71&gt;=$H$76,$B$71-1955000,0)</f>
        <v>0</v>
      </c>
      <c r="J76" s="77">
        <f>IF($B$71&gt;=$H$76,$B$71-1855000,0)</f>
        <v>0</v>
      </c>
      <c r="K76" s="77">
        <f>IF($B$71&gt;=$H$76,$B$71-1755000,0)</f>
        <v>0</v>
      </c>
      <c r="L76" s="27"/>
      <c r="M76" s="27"/>
      <c r="N76" s="27"/>
      <c r="O76" s="27"/>
      <c r="P76" s="12"/>
      <c r="Q76" s="12"/>
      <c r="R76" s="12"/>
      <c r="S76" s="12"/>
      <c r="T76" s="12"/>
      <c r="U76" s="12"/>
      <c r="V76" s="321"/>
      <c r="W76" s="321"/>
      <c r="X76" s="321"/>
      <c r="Y76" s="321"/>
      <c r="Z76" s="321"/>
      <c r="AA76" s="321"/>
      <c r="AB76" s="321"/>
      <c r="AC76" s="321"/>
      <c r="AD76" s="321"/>
      <c r="AE76" s="321"/>
      <c r="AF76" s="321"/>
      <c r="AG76" s="321"/>
      <c r="AH76" s="321"/>
      <c r="AI76" s="321"/>
      <c r="AJ76" s="321"/>
      <c r="AK76" s="321"/>
      <c r="AL76" s="321"/>
      <c r="AM76" s="321"/>
      <c r="AN76" s="321"/>
      <c r="AO76" s="321"/>
    </row>
    <row r="77" spans="1:41">
      <c r="A77" s="27"/>
      <c r="B77" s="27"/>
      <c r="C77" s="27"/>
      <c r="D77" s="287"/>
      <c r="E77" s="287"/>
      <c r="F77" s="287"/>
      <c r="G77" s="287"/>
      <c r="H77" s="287"/>
      <c r="I77" s="287"/>
      <c r="J77" s="287"/>
      <c r="K77" s="287"/>
      <c r="L77" s="27"/>
      <c r="M77" s="27"/>
      <c r="N77" s="12"/>
      <c r="O77" s="12"/>
      <c r="P77" s="12"/>
      <c r="Q77" s="12"/>
      <c r="R77" s="12"/>
      <c r="S77" s="12"/>
      <c r="T77" s="12"/>
      <c r="U77" s="12"/>
      <c r="V77" s="321"/>
      <c r="W77" s="321"/>
      <c r="X77" s="321"/>
      <c r="Y77" s="321"/>
      <c r="Z77" s="321"/>
      <c r="AA77" s="321"/>
      <c r="AB77" s="321"/>
      <c r="AC77" s="321"/>
      <c r="AD77" s="321"/>
      <c r="AE77" s="321"/>
      <c r="AF77" s="321"/>
      <c r="AG77" s="321"/>
      <c r="AH77" s="321"/>
      <c r="AI77" s="321"/>
      <c r="AJ77" s="321"/>
      <c r="AK77" s="321"/>
      <c r="AL77" s="321"/>
      <c r="AM77" s="321"/>
      <c r="AN77" s="321"/>
      <c r="AO77" s="321"/>
    </row>
    <row r="78" spans="1:41" s="166" customFormat="1">
      <c r="A78" s="27"/>
      <c r="B78" s="27"/>
      <c r="C78" s="27"/>
      <c r="D78" s="467" t="s">
        <v>128</v>
      </c>
      <c r="E78" s="468"/>
      <c r="F78" s="468"/>
      <c r="G78" s="469"/>
      <c r="H78" s="470" t="s">
        <v>64</v>
      </c>
      <c r="I78" s="471"/>
      <c r="J78" s="471"/>
      <c r="K78" s="472"/>
      <c r="L78" s="27"/>
      <c r="M78" s="27"/>
      <c r="N78" s="12"/>
      <c r="O78" s="12"/>
      <c r="P78" s="12"/>
      <c r="Q78" s="12"/>
      <c r="R78" s="12"/>
      <c r="S78" s="12"/>
      <c r="T78" s="12"/>
      <c r="U78" s="12"/>
      <c r="V78" s="321"/>
      <c r="W78" s="321"/>
      <c r="X78" s="321"/>
      <c r="Y78" s="321"/>
      <c r="Z78" s="321"/>
      <c r="AA78" s="321"/>
      <c r="AB78" s="321"/>
      <c r="AC78" s="321"/>
      <c r="AD78" s="321"/>
      <c r="AE78" s="321"/>
      <c r="AF78" s="321"/>
      <c r="AG78" s="321"/>
      <c r="AH78" s="321"/>
      <c r="AI78" s="321"/>
      <c r="AJ78" s="321"/>
      <c r="AK78" s="321"/>
      <c r="AL78" s="321"/>
      <c r="AM78" s="321"/>
      <c r="AN78" s="321"/>
      <c r="AO78" s="321"/>
    </row>
    <row r="79" spans="1:41">
      <c r="A79" s="27" t="s">
        <v>33</v>
      </c>
      <c r="B79" s="33" t="s">
        <v>61</v>
      </c>
      <c r="C79" s="34" t="s">
        <v>62</v>
      </c>
      <c r="D79" s="171" t="s">
        <v>129</v>
      </c>
      <c r="E79" s="18" t="s">
        <v>131</v>
      </c>
      <c r="F79" s="171" t="s">
        <v>132</v>
      </c>
      <c r="G79" s="173" t="s">
        <v>133</v>
      </c>
      <c r="H79" s="172" t="s">
        <v>130</v>
      </c>
      <c r="I79" s="18" t="s">
        <v>131</v>
      </c>
      <c r="J79" s="171" t="s">
        <v>132</v>
      </c>
      <c r="K79" s="18" t="s">
        <v>133</v>
      </c>
      <c r="L79" s="27"/>
      <c r="M79" s="27"/>
      <c r="N79" s="12"/>
      <c r="O79" s="12"/>
      <c r="P79" s="12"/>
      <c r="Q79" s="12"/>
      <c r="R79" s="12"/>
      <c r="S79" s="12"/>
      <c r="T79" s="12"/>
      <c r="U79" s="12"/>
      <c r="V79" s="321"/>
      <c r="W79" s="321"/>
      <c r="X79" s="321"/>
      <c r="Y79" s="321"/>
      <c r="Z79" s="321"/>
      <c r="AA79" s="321"/>
      <c r="AB79" s="321"/>
      <c r="AC79" s="321"/>
      <c r="AD79" s="321"/>
      <c r="AE79" s="321"/>
      <c r="AF79" s="321"/>
      <c r="AG79" s="321"/>
      <c r="AH79" s="321"/>
      <c r="AI79" s="321"/>
      <c r="AJ79" s="321"/>
      <c r="AK79" s="321"/>
      <c r="AL79" s="321"/>
      <c r="AM79" s="321"/>
      <c r="AN79" s="321"/>
      <c r="AO79" s="321"/>
    </row>
    <row r="80" spans="1:41">
      <c r="A80" s="27"/>
      <c r="B80" s="297">
        <f>N12</f>
        <v>0</v>
      </c>
      <c r="C80" s="295">
        <f>IF(B83=0,IF(C85=1,MAX(E80:E85),IF(C85=2,MAX(F80:F85),MAX(G80:G85))),IF(C85=1,MAX(I80:I85),IF(C85=2,MAX(J80:J85),MAX(K80:K85))))</f>
        <v>0</v>
      </c>
      <c r="D80" s="174">
        <v>0</v>
      </c>
      <c r="E80" s="233">
        <f>IF($B$80&lt;$D$81,0,0)</f>
        <v>0</v>
      </c>
      <c r="F80" s="233">
        <f>IF($B$80&lt;$D$81,$B$80-1000000,0)</f>
        <v>-1000000</v>
      </c>
      <c r="G80" s="234">
        <f>IF($B$80&lt;$D$81,$B$80-900000,0)</f>
        <v>-900000</v>
      </c>
      <c r="H80" s="175">
        <v>0</v>
      </c>
      <c r="I80" s="233">
        <f>IF($B$80&lt;$H$81,0,0)</f>
        <v>0</v>
      </c>
      <c r="J80" s="233">
        <f>IF($B$80&lt;$H$81,$B$80-1000000,0)</f>
        <v>-1000000</v>
      </c>
      <c r="K80" s="233">
        <f>IF($B$80&lt;$H$81,$B$80-900000,0)</f>
        <v>-900000</v>
      </c>
      <c r="L80" s="27"/>
      <c r="M80" s="27"/>
      <c r="N80" s="12"/>
      <c r="O80" s="12"/>
      <c r="P80" s="12"/>
      <c r="Q80" s="12"/>
      <c r="R80" s="12"/>
      <c r="S80" s="12"/>
      <c r="T80" s="12"/>
      <c r="U80" s="12"/>
      <c r="V80" s="321"/>
      <c r="W80" s="321"/>
      <c r="X80" s="321"/>
      <c r="Y80" s="321"/>
      <c r="Z80" s="321"/>
      <c r="AA80" s="321"/>
      <c r="AB80" s="321"/>
      <c r="AC80" s="321"/>
      <c r="AD80" s="321"/>
      <c r="AE80" s="321"/>
      <c r="AF80" s="321"/>
      <c r="AG80" s="321"/>
      <c r="AH80" s="321"/>
      <c r="AI80" s="321"/>
      <c r="AJ80" s="321"/>
      <c r="AK80" s="321"/>
      <c r="AL80" s="321"/>
      <c r="AM80" s="321"/>
      <c r="AN80" s="321"/>
      <c r="AO80" s="321"/>
    </row>
    <row r="81" spans="1:41">
      <c r="A81" s="27"/>
      <c r="B81" s="296" t="s">
        <v>134</v>
      </c>
      <c r="C81" s="27">
        <f>IF(R54=1,0,IF(OR(AND(B83=1,B80&gt;1250000),AND(B83=0,B80&gt;600000)),1,0))</f>
        <v>0</v>
      </c>
      <c r="D81" s="176">
        <v>600001</v>
      </c>
      <c r="E81" s="176">
        <f>IF(AND($B$80&gt;=$D$81,$B$80&lt;$D$82),$B$80-600000,0)</f>
        <v>0</v>
      </c>
      <c r="F81" s="176">
        <f>IF(AND($B$80&gt;=$D$81,$B$80&lt;$D$82),$B$80-500000,0)</f>
        <v>0</v>
      </c>
      <c r="G81" s="235">
        <f>IF(AND($B$80&gt;=$D$81,$B$80&lt;$D$82),$B$80-400000,0)</f>
        <v>0</v>
      </c>
      <c r="H81" s="73">
        <v>1100001</v>
      </c>
      <c r="I81" s="176">
        <f>IF(AND($B$80&gt;=$H$81,$B$80&lt;$H$82),$B$80-1100000,0)</f>
        <v>0</v>
      </c>
      <c r="J81" s="176">
        <f>IF(AND($B$80&gt;=$H$81,$B$80&lt;$H$82),$B$80-1000000,0)</f>
        <v>0</v>
      </c>
      <c r="K81" s="176">
        <f>IF(AND($B$80&gt;=$H$81,$B$80&lt;$H$82),$B$80-900000,0)</f>
        <v>0</v>
      </c>
      <c r="L81" s="27"/>
      <c r="M81" s="27"/>
      <c r="N81" s="12"/>
      <c r="O81" s="12"/>
      <c r="P81" s="12"/>
      <c r="Q81" s="12"/>
      <c r="R81" s="12"/>
      <c r="S81" s="12"/>
      <c r="T81" s="12"/>
      <c r="U81" s="12"/>
      <c r="V81" s="321"/>
      <c r="W81" s="321"/>
      <c r="X81" s="321"/>
      <c r="Y81" s="321"/>
      <c r="Z81" s="321"/>
      <c r="AA81" s="321"/>
      <c r="AB81" s="321"/>
      <c r="AC81" s="321"/>
      <c r="AD81" s="321"/>
      <c r="AE81" s="321"/>
      <c r="AF81" s="321"/>
      <c r="AG81" s="321"/>
      <c r="AH81" s="321"/>
      <c r="AI81" s="321"/>
      <c r="AJ81" s="321"/>
      <c r="AK81" s="321"/>
      <c r="AL81" s="321"/>
      <c r="AM81" s="321"/>
      <c r="AN81" s="321"/>
      <c r="AO81" s="321"/>
    </row>
    <row r="82" spans="1:41" ht="19.5" thickBot="1">
      <c r="A82" s="27"/>
      <c r="B82" s="239" t="s">
        <v>195</v>
      </c>
      <c r="C82" s="243" t="s">
        <v>194</v>
      </c>
      <c r="D82" s="176">
        <v>1300000</v>
      </c>
      <c r="E82" s="176">
        <f>IF(AND($B$80&gt;=$D$82,$B$80&lt;$D$83),ROUNDDOWN($B$80*0.75,0)-275000,0)</f>
        <v>0</v>
      </c>
      <c r="F82" s="176">
        <f>IF(AND($B$80&gt;=$D$82,$B$80&lt;$D$83),ROUNDDOWN($B$80*0.75,0)-175000,0)</f>
        <v>0</v>
      </c>
      <c r="G82" s="235">
        <f>IF(AND($B$80&gt;=$D$82,$B$80&lt;$D$83),ROUNDDOWN($B$80*0.75,0)-75000,0)</f>
        <v>0</v>
      </c>
      <c r="H82" s="73">
        <v>3300000</v>
      </c>
      <c r="I82" s="176">
        <f>IF(AND($B$80&gt;=$H$82,$B$80&lt;$H$83),ROUNDDOWN($B$80*0.75,0)-275000,0)</f>
        <v>0</v>
      </c>
      <c r="J82" s="176">
        <f>IF(AND($B$80&gt;=$H$82,$B$80&lt;$H$83),ROUNDDOWN($B$80*0.75,0)-175000,0)</f>
        <v>0</v>
      </c>
      <c r="K82" s="176">
        <f>IF(AND($B$80&gt;=$H$82,$B$80&lt;$H$83),ROUNDDOWN($B$80*0.75,0)-75000,0)</f>
        <v>0</v>
      </c>
      <c r="L82" s="27"/>
      <c r="M82" s="27"/>
      <c r="N82" s="12"/>
      <c r="O82" s="12"/>
      <c r="P82" s="12"/>
      <c r="Q82" s="12"/>
      <c r="R82" s="12"/>
      <c r="S82" s="12"/>
      <c r="T82" s="12"/>
      <c r="U82" s="12"/>
      <c r="V82" s="321"/>
      <c r="W82" s="321"/>
      <c r="X82" s="321"/>
      <c r="Y82" s="321"/>
      <c r="Z82" s="321"/>
      <c r="AA82" s="321"/>
      <c r="AB82" s="321"/>
      <c r="AC82" s="321"/>
      <c r="AD82" s="321"/>
      <c r="AE82" s="321"/>
      <c r="AF82" s="321"/>
      <c r="AG82" s="321"/>
      <c r="AH82" s="321"/>
      <c r="AI82" s="321"/>
      <c r="AJ82" s="321"/>
      <c r="AK82" s="321"/>
      <c r="AL82" s="321"/>
      <c r="AM82" s="321"/>
      <c r="AN82" s="321"/>
      <c r="AO82" s="321"/>
    </row>
    <row r="83" spans="1:41" ht="13.5" thickBot="1">
      <c r="A83" s="27"/>
      <c r="B83" s="299">
        <f>IF(C83="自動",IF($B$68="生年月日",IF(R21&gt;64,1,0),IF(OR(B12=1,B12&gt;3),1,0)),IF(C83="65歳以上",1,0))</f>
        <v>1</v>
      </c>
      <c r="C83" s="320" t="s">
        <v>219</v>
      </c>
      <c r="D83" s="176">
        <v>4100000</v>
      </c>
      <c r="E83" s="176">
        <f>IF(AND($B$80&gt;=$D$83,$B$80&lt;$D$84),ROUNDDOWN($B$80*0.85,0)-685000,0)</f>
        <v>0</v>
      </c>
      <c r="F83" s="176">
        <f>IF(AND($B$80&gt;=$D$83,$B$80&lt;$D$84),ROUNDDOWN($B$80*0.85,0)-585000,0)</f>
        <v>0</v>
      </c>
      <c r="G83" s="235">
        <f>IF(AND($B$80&gt;=$D$83,$B$80&lt;$D$84),ROUNDDOWN($B$80*0.85,0)-485000,0)</f>
        <v>0</v>
      </c>
      <c r="H83" s="73">
        <v>4100000</v>
      </c>
      <c r="I83" s="176">
        <f>IF(AND($B$80&gt;=$H$83,$B$80&lt;$H$84),ROUNDDOWN($B$80*0.85,0)-685000,0)</f>
        <v>0</v>
      </c>
      <c r="J83" s="176">
        <f>IF(AND($B$80&gt;=$H$83,$B$80&lt;$H$84),ROUNDDOWN($B$80*0.85,0)-585000,0)</f>
        <v>0</v>
      </c>
      <c r="K83" s="176">
        <f>IF(AND($B$80&gt;=$H$83,$B$80&lt;$H$84),ROUNDDOWN($B$80*0.85,0)-485000,0)</f>
        <v>0</v>
      </c>
      <c r="L83" s="27"/>
      <c r="M83" s="27"/>
      <c r="N83" s="12"/>
      <c r="O83" s="12"/>
      <c r="P83" s="12"/>
      <c r="Q83" s="12"/>
      <c r="R83" s="12"/>
      <c r="S83" s="12"/>
      <c r="T83" s="12"/>
      <c r="U83" s="12"/>
      <c r="V83" s="321"/>
      <c r="W83" s="321"/>
      <c r="X83" s="321"/>
      <c r="Y83" s="321"/>
      <c r="Z83" s="321"/>
      <c r="AA83" s="321"/>
      <c r="AB83" s="321"/>
      <c r="AC83" s="321"/>
      <c r="AD83" s="321"/>
      <c r="AE83" s="321"/>
      <c r="AF83" s="321"/>
      <c r="AG83" s="321"/>
      <c r="AH83" s="321"/>
      <c r="AI83" s="321"/>
      <c r="AJ83" s="321"/>
      <c r="AK83" s="321"/>
      <c r="AL83" s="321"/>
      <c r="AM83" s="321"/>
      <c r="AN83" s="321"/>
      <c r="AO83" s="321"/>
    </row>
    <row r="84" spans="1:41" ht="22">
      <c r="A84" s="27"/>
      <c r="B84" s="341" t="s">
        <v>210</v>
      </c>
      <c r="C84" s="300" t="s">
        <v>127</v>
      </c>
      <c r="D84" s="176">
        <v>7700000</v>
      </c>
      <c r="E84" s="176">
        <f>IF(AND($B$80&gt;=$D$84,$B$80&lt;$D$85),ROUNDDOWN($B$80*0.95,0)-1455000,0)</f>
        <v>0</v>
      </c>
      <c r="F84" s="176">
        <f>IF(AND($B$80&gt;=$D$84,$B$80&lt;$D$85),ROUNDDOWN($B$80*0.95,0)-1355000,0)</f>
        <v>0</v>
      </c>
      <c r="G84" s="235">
        <f>IF(AND($B$80&gt;=$D$84,$B$80&lt;$D$85),ROUNDDOWN($B$80*0.95,0)-1255000,0)</f>
        <v>0</v>
      </c>
      <c r="H84" s="73">
        <v>7700000</v>
      </c>
      <c r="I84" s="176">
        <f>IF(AND($B$80&gt;=$H$84,$B$80&lt;$H$85),ROUNDDOWN($B$80*0.95,0)-1455000,0)</f>
        <v>0</v>
      </c>
      <c r="J84" s="176">
        <f>IF(AND($B$80&gt;=$H$84,$B$80&lt;$H$85),ROUNDDOWN($B$80*0.95,0)-1355000,0)</f>
        <v>0</v>
      </c>
      <c r="K84" s="176">
        <f>IF(AND($B$80&gt;=$H$84,$B$80&lt;$H$85),ROUNDDOWN($B$80*0.95,0)-1255000,0)</f>
        <v>0</v>
      </c>
      <c r="L84" s="27"/>
      <c r="M84" s="27"/>
      <c r="N84" s="12"/>
      <c r="O84" s="12"/>
      <c r="P84" s="12"/>
      <c r="Q84" s="12"/>
      <c r="R84" s="12"/>
      <c r="S84" s="12"/>
      <c r="T84" s="12"/>
      <c r="U84" s="12"/>
      <c r="V84" s="321"/>
      <c r="W84" s="321"/>
      <c r="X84" s="321"/>
      <c r="Y84" s="321"/>
      <c r="Z84" s="321"/>
      <c r="AA84" s="321"/>
      <c r="AB84" s="321"/>
      <c r="AC84" s="321"/>
      <c r="AD84" s="321"/>
      <c r="AE84" s="321"/>
      <c r="AF84" s="321"/>
      <c r="AG84" s="321"/>
      <c r="AH84" s="321"/>
      <c r="AI84" s="321"/>
      <c r="AJ84" s="321"/>
      <c r="AK84" s="321"/>
      <c r="AL84" s="321"/>
      <c r="AM84" s="321"/>
      <c r="AN84" s="321"/>
      <c r="AO84" s="321"/>
    </row>
    <row r="85" spans="1:41">
      <c r="A85" s="27"/>
      <c r="B85" s="349">
        <f>IF(B83=1,IF(C80-150000&lt;0,0,C80-150000),C80)</f>
        <v>0</v>
      </c>
      <c r="C85" s="28">
        <f>IF(Q12&lt;=10000000,1,IF(Q12&lt;=20000000,2,3))</f>
        <v>1</v>
      </c>
      <c r="D85" s="77">
        <v>10000001</v>
      </c>
      <c r="E85" s="77">
        <f>IF($B$80&gt;=$D$85,$B$80-1955000,0)</f>
        <v>0</v>
      </c>
      <c r="F85" s="77">
        <f>IF($B$80&gt;=$D$85,$B$80-1855000,0)</f>
        <v>0</v>
      </c>
      <c r="G85" s="236">
        <f>IF($B$80&gt;=$D$85,$B$80-1755000,0)</f>
        <v>0</v>
      </c>
      <c r="H85" s="74">
        <v>10000001</v>
      </c>
      <c r="I85" s="77">
        <f>IF($B$80&gt;=$H$85,$B$80-1955000,0)</f>
        <v>0</v>
      </c>
      <c r="J85" s="77">
        <f>IF($B$80&gt;=$H$85,$B$80-1855000,0)</f>
        <v>0</v>
      </c>
      <c r="K85" s="77">
        <f>IF($B$80&gt;=$H$85,$B$80-1755000,0)</f>
        <v>0</v>
      </c>
      <c r="L85" s="27"/>
      <c r="M85" s="27"/>
      <c r="N85" s="12"/>
      <c r="O85" s="12"/>
      <c r="P85" s="12"/>
      <c r="Q85" s="12"/>
      <c r="R85" s="12"/>
      <c r="S85" s="12"/>
      <c r="T85" s="12"/>
      <c r="U85" s="12"/>
      <c r="V85" s="321"/>
      <c r="W85" s="321"/>
      <c r="X85" s="321"/>
      <c r="Y85" s="321"/>
      <c r="Z85" s="321"/>
      <c r="AA85" s="321"/>
      <c r="AB85" s="321"/>
      <c r="AC85" s="321"/>
      <c r="AD85" s="321"/>
      <c r="AE85" s="321"/>
      <c r="AF85" s="321"/>
      <c r="AG85" s="321"/>
      <c r="AH85" s="321"/>
      <c r="AI85" s="321"/>
      <c r="AJ85" s="321"/>
      <c r="AK85" s="321"/>
      <c r="AL85" s="321"/>
      <c r="AM85" s="321"/>
      <c r="AN85" s="321"/>
      <c r="AO85" s="321"/>
    </row>
    <row r="86" spans="1:41" s="166" customFormat="1">
      <c r="A86" s="27"/>
      <c r="B86" s="27"/>
      <c r="C86" s="27"/>
      <c r="D86" s="287"/>
      <c r="E86" s="287"/>
      <c r="F86" s="287"/>
      <c r="G86" s="287"/>
      <c r="H86" s="287"/>
      <c r="I86" s="287"/>
      <c r="J86" s="287"/>
      <c r="K86" s="287"/>
      <c r="L86" s="27"/>
      <c r="M86" s="27"/>
      <c r="N86" s="12"/>
      <c r="O86" s="12"/>
      <c r="P86" s="12"/>
      <c r="Q86" s="12"/>
      <c r="R86" s="12"/>
      <c r="S86" s="12"/>
      <c r="T86" s="12"/>
      <c r="U86" s="12"/>
      <c r="V86" s="321"/>
      <c r="W86" s="321"/>
      <c r="X86" s="321"/>
      <c r="Y86" s="321"/>
      <c r="Z86" s="321"/>
      <c r="AA86" s="321"/>
      <c r="AB86" s="321"/>
      <c r="AC86" s="321"/>
      <c r="AD86" s="321"/>
      <c r="AE86" s="321"/>
      <c r="AF86" s="321"/>
      <c r="AG86" s="321"/>
      <c r="AH86" s="321"/>
      <c r="AI86" s="321"/>
      <c r="AJ86" s="321"/>
      <c r="AK86" s="321"/>
      <c r="AL86" s="321"/>
      <c r="AM86" s="321"/>
      <c r="AN86" s="321"/>
      <c r="AO86" s="321"/>
    </row>
    <row r="87" spans="1:41" s="166" customFormat="1">
      <c r="A87" s="27"/>
      <c r="B87" s="27"/>
      <c r="C87" s="27"/>
      <c r="D87" s="467" t="s">
        <v>128</v>
      </c>
      <c r="E87" s="468"/>
      <c r="F87" s="468"/>
      <c r="G87" s="469"/>
      <c r="H87" s="470" t="s">
        <v>64</v>
      </c>
      <c r="I87" s="471"/>
      <c r="J87" s="471"/>
      <c r="K87" s="472"/>
      <c r="L87" s="27"/>
      <c r="M87" s="27"/>
      <c r="N87" s="12"/>
      <c r="O87" s="12"/>
      <c r="P87" s="12"/>
      <c r="Q87" s="12"/>
      <c r="R87" s="12"/>
      <c r="S87" s="12"/>
      <c r="T87" s="12"/>
      <c r="U87" s="12"/>
      <c r="V87" s="321"/>
      <c r="W87" s="321"/>
      <c r="X87" s="321"/>
      <c r="Y87" s="321"/>
      <c r="Z87" s="321"/>
      <c r="AA87" s="321"/>
      <c r="AB87" s="321"/>
      <c r="AC87" s="321"/>
      <c r="AD87" s="321"/>
      <c r="AE87" s="321"/>
      <c r="AF87" s="321"/>
      <c r="AG87" s="321"/>
      <c r="AH87" s="321"/>
      <c r="AI87" s="321"/>
      <c r="AJ87" s="321"/>
      <c r="AK87" s="321"/>
      <c r="AL87" s="321"/>
      <c r="AM87" s="321"/>
      <c r="AN87" s="321"/>
      <c r="AO87" s="321"/>
    </row>
    <row r="88" spans="1:41">
      <c r="A88" s="27" t="s">
        <v>34</v>
      </c>
      <c r="B88" s="33" t="s">
        <v>61</v>
      </c>
      <c r="C88" s="34" t="s">
        <v>62</v>
      </c>
      <c r="D88" s="171" t="s">
        <v>129</v>
      </c>
      <c r="E88" s="18" t="s">
        <v>131</v>
      </c>
      <c r="F88" s="171" t="s">
        <v>132</v>
      </c>
      <c r="G88" s="173" t="s">
        <v>133</v>
      </c>
      <c r="H88" s="172" t="s">
        <v>130</v>
      </c>
      <c r="I88" s="18" t="s">
        <v>131</v>
      </c>
      <c r="J88" s="171" t="s">
        <v>132</v>
      </c>
      <c r="K88" s="18" t="s">
        <v>133</v>
      </c>
      <c r="L88" s="27"/>
      <c r="M88" s="27"/>
      <c r="N88" s="12"/>
      <c r="O88" s="12"/>
      <c r="P88" s="12"/>
      <c r="Q88" s="12"/>
      <c r="R88" s="12"/>
      <c r="S88" s="12"/>
      <c r="T88" s="12"/>
      <c r="U88" s="12"/>
      <c r="V88" s="321"/>
      <c r="W88" s="321"/>
      <c r="X88" s="321"/>
      <c r="Y88" s="321"/>
      <c r="Z88" s="321"/>
      <c r="AA88" s="321"/>
      <c r="AB88" s="321"/>
      <c r="AC88" s="321"/>
      <c r="AD88" s="321"/>
      <c r="AE88" s="321"/>
      <c r="AF88" s="321"/>
      <c r="AG88" s="321"/>
      <c r="AH88" s="321"/>
      <c r="AI88" s="321"/>
      <c r="AJ88" s="321"/>
      <c r="AK88" s="321"/>
      <c r="AL88" s="321"/>
      <c r="AM88" s="321"/>
      <c r="AN88" s="321"/>
      <c r="AO88" s="321"/>
    </row>
    <row r="89" spans="1:41">
      <c r="A89" s="27"/>
      <c r="B89" s="297">
        <f>N13</f>
        <v>0</v>
      </c>
      <c r="C89" s="295">
        <f>IF(B92=0,IF(C94=1,MAX(E89:E94),IF(C94=2,MAX(F89:F94),MAX(G89:G94))),IF(C94=1,MAX(I89:I94),IF(C94=2,MAX(J89:J94),MAX(K89:K94))))</f>
        <v>0</v>
      </c>
      <c r="D89" s="174">
        <v>0</v>
      </c>
      <c r="E89" s="233">
        <f>IF($B$89&lt;$D$90,0,0)</f>
        <v>0</v>
      </c>
      <c r="F89" s="233">
        <f>IF($B$89&lt;$D$90,$B$89-1000000,0)</f>
        <v>-1000000</v>
      </c>
      <c r="G89" s="234">
        <f>IF($B$89&lt;$D$90,$B$89-900000,0)</f>
        <v>-900000</v>
      </c>
      <c r="H89" s="175">
        <v>0</v>
      </c>
      <c r="I89" s="233">
        <f>IF($B$89&lt;$H$90,0,0)</f>
        <v>0</v>
      </c>
      <c r="J89" s="233">
        <f>IF($B$89&lt;$H$90,$B$89-1000000,0)</f>
        <v>-1000000</v>
      </c>
      <c r="K89" s="233">
        <f>IF($B$89&lt;$H$90,$B$89-900000,0)</f>
        <v>-900000</v>
      </c>
      <c r="L89" s="27"/>
      <c r="M89" s="27"/>
      <c r="N89" s="12"/>
      <c r="O89" s="12"/>
      <c r="P89" s="12"/>
      <c r="Q89" s="12"/>
      <c r="R89" s="12"/>
      <c r="S89" s="12"/>
      <c r="T89" s="12"/>
      <c r="U89" s="12"/>
      <c r="V89" s="321"/>
      <c r="W89" s="321"/>
      <c r="X89" s="321"/>
      <c r="Y89" s="321"/>
      <c r="Z89" s="321"/>
      <c r="AA89" s="321"/>
      <c r="AB89" s="321"/>
      <c r="AC89" s="321"/>
      <c r="AD89" s="321"/>
      <c r="AE89" s="321"/>
      <c r="AF89" s="321"/>
      <c r="AG89" s="321"/>
      <c r="AH89" s="321"/>
      <c r="AI89" s="321"/>
      <c r="AJ89" s="321"/>
      <c r="AK89" s="321"/>
      <c r="AL89" s="321"/>
      <c r="AM89" s="321"/>
      <c r="AN89" s="321"/>
      <c r="AO89" s="321"/>
    </row>
    <row r="90" spans="1:41">
      <c r="A90" s="27"/>
      <c r="B90" s="296" t="s">
        <v>134</v>
      </c>
      <c r="C90" s="27">
        <f>IF(R55=1,0,IF(OR(AND(B92=1,B89&gt;1250000),AND(B92=0,B89&gt;600000)),1,0))</f>
        <v>0</v>
      </c>
      <c r="D90" s="176">
        <v>600001</v>
      </c>
      <c r="E90" s="176">
        <f>IF(AND($B$89&gt;=$D$90,$B$89&lt;$D$91),$B$89-600000,0)</f>
        <v>0</v>
      </c>
      <c r="F90" s="176">
        <f>IF(AND($B$89&gt;=$D$90,$B$89&lt;$D$91),$B$89-500000,0)</f>
        <v>0</v>
      </c>
      <c r="G90" s="235">
        <f>IF(AND($B$89&gt;=$D$90,$B$89&lt;$D$91),$B$89-400000,0)</f>
        <v>0</v>
      </c>
      <c r="H90" s="73">
        <v>1100001</v>
      </c>
      <c r="I90" s="176">
        <f>IF(AND($B$89&gt;=$H$90,$B$89&lt;$H$91),$B$89-1100000,0)</f>
        <v>0</v>
      </c>
      <c r="J90" s="176">
        <f>IF(AND($B$89&gt;=$H$90,$B$89&lt;$H$91),$B$89-1000000,0)</f>
        <v>0</v>
      </c>
      <c r="K90" s="176">
        <f>IF(AND($B$89&gt;=$H$90,$B$89&lt;$H$91),$B$89-900000,0)</f>
        <v>0</v>
      </c>
      <c r="L90" s="27"/>
      <c r="M90" s="27"/>
      <c r="N90" s="12"/>
      <c r="O90" s="12"/>
      <c r="P90" s="12"/>
      <c r="Q90" s="12"/>
      <c r="R90" s="12"/>
      <c r="S90" s="12"/>
      <c r="T90" s="12"/>
      <c r="U90" s="12"/>
      <c r="V90" s="321"/>
      <c r="W90" s="321"/>
      <c r="X90" s="321"/>
      <c r="Y90" s="321"/>
      <c r="Z90" s="321"/>
      <c r="AA90" s="321"/>
      <c r="AB90" s="321"/>
      <c r="AC90" s="321"/>
      <c r="AD90" s="321"/>
      <c r="AE90" s="321"/>
      <c r="AF90" s="321"/>
      <c r="AG90" s="321"/>
      <c r="AH90" s="321"/>
      <c r="AI90" s="321"/>
      <c r="AJ90" s="321"/>
      <c r="AK90" s="321"/>
      <c r="AL90" s="321"/>
      <c r="AM90" s="321"/>
      <c r="AN90" s="321"/>
      <c r="AO90" s="321"/>
    </row>
    <row r="91" spans="1:41" ht="19.5" thickBot="1">
      <c r="A91" s="27"/>
      <c r="B91" s="239" t="s">
        <v>195</v>
      </c>
      <c r="C91" s="243" t="s">
        <v>194</v>
      </c>
      <c r="D91" s="176">
        <v>1300000</v>
      </c>
      <c r="E91" s="176">
        <f>IF(AND($B$89&gt;=$D$91,$B$89&lt;$D$92),ROUNDDOWN($B$89*0.75,0)-275000,0)</f>
        <v>0</v>
      </c>
      <c r="F91" s="176">
        <f>IF(AND($B$89&gt;=$D$91,$B$89&lt;$D$92),ROUNDDOWN($B$89*0.75,0)-175000,0)</f>
        <v>0</v>
      </c>
      <c r="G91" s="235">
        <f>IF(AND($B$89&gt;=$D$91,$B$89&lt;$D$92),ROUNDDOWN($B$89*0.75,0)-75000,0)</f>
        <v>0</v>
      </c>
      <c r="H91" s="73">
        <v>3300000</v>
      </c>
      <c r="I91" s="176">
        <f>IF(AND($B$89&gt;=$H$91,$B$89&lt;$H$92),ROUNDDOWN($B$89*0.75,0)-275000,0)</f>
        <v>0</v>
      </c>
      <c r="J91" s="176">
        <f>IF(AND($B$89&gt;=$H$91,$B$89&lt;$H$92),ROUNDDOWN($B$89*0.75,0)-175000,0)</f>
        <v>0</v>
      </c>
      <c r="K91" s="176">
        <f>IF(AND($B$89&gt;=$H$91,$B$89&lt;$H$92),ROUNDDOWN($B$89*0.75,0)-75000,0)</f>
        <v>0</v>
      </c>
      <c r="L91" s="27"/>
      <c r="M91" s="27"/>
      <c r="N91" s="12"/>
      <c r="O91" s="12"/>
      <c r="P91" s="12"/>
      <c r="Q91" s="12"/>
      <c r="R91" s="12"/>
      <c r="S91" s="12"/>
      <c r="T91" s="12"/>
      <c r="U91" s="12"/>
      <c r="V91" s="321"/>
      <c r="W91" s="321"/>
      <c r="X91" s="321"/>
      <c r="Y91" s="321"/>
      <c r="Z91" s="321"/>
      <c r="AA91" s="321"/>
      <c r="AB91" s="321"/>
      <c r="AC91" s="321"/>
      <c r="AD91" s="321"/>
      <c r="AE91" s="321"/>
      <c r="AF91" s="321"/>
      <c r="AG91" s="321"/>
      <c r="AH91" s="321"/>
      <c r="AI91" s="321"/>
      <c r="AJ91" s="321"/>
      <c r="AK91" s="321"/>
      <c r="AL91" s="321"/>
      <c r="AM91" s="321"/>
      <c r="AN91" s="321"/>
      <c r="AO91" s="321"/>
    </row>
    <row r="92" spans="1:41" ht="13.5" thickBot="1">
      <c r="A92" s="27"/>
      <c r="B92" s="299">
        <f>IF(C92="自動",IF($B$68="生年月日",IF(R22&gt;64,1,0),IF(OR(B13=1,B13&gt;3),1,0)),IF(C92="65歳以上",1,0))</f>
        <v>1</v>
      </c>
      <c r="C92" s="320" t="s">
        <v>219</v>
      </c>
      <c r="D92" s="176">
        <v>4100000</v>
      </c>
      <c r="E92" s="176">
        <f>IF(AND($B$89&gt;=$D$92,$B$89&lt;$D$93),ROUNDDOWN($B$89*0.85,0)-685000,0)</f>
        <v>0</v>
      </c>
      <c r="F92" s="176">
        <f>IF(AND($B$89&gt;=$D$92,$B$89&lt;$D$93),ROUNDDOWN($B$89*0.85,0)-585000,0)</f>
        <v>0</v>
      </c>
      <c r="G92" s="235">
        <f>IF(AND($B$89&gt;=$D$92,$B$89&lt;$D$93),ROUNDDOWN($B$89*0.85,0)-485000,0)</f>
        <v>0</v>
      </c>
      <c r="H92" s="73">
        <v>4100000</v>
      </c>
      <c r="I92" s="176">
        <f>IF(AND($B$89&gt;=$H$92,$B$89&lt;$H$93),ROUNDDOWN($B$89*0.85,0)-685000,0)</f>
        <v>0</v>
      </c>
      <c r="J92" s="176">
        <f>IF(AND($B$89&gt;=$H$92,$B$89&lt;$H$93),ROUNDDOWN($B$89*0.85,0)-585000,0)</f>
        <v>0</v>
      </c>
      <c r="K92" s="176">
        <f>IF(AND($B$89&gt;=$H$92,$B$89&lt;$H$93),ROUNDDOWN($B$89*0.85,0)-485000,0)</f>
        <v>0</v>
      </c>
      <c r="L92" s="27"/>
      <c r="M92" s="27"/>
      <c r="N92" s="12"/>
      <c r="O92" s="12"/>
      <c r="P92" s="12"/>
      <c r="Q92" s="12"/>
      <c r="R92" s="12"/>
      <c r="S92" s="12"/>
      <c r="T92" s="12"/>
      <c r="U92" s="12"/>
      <c r="V92" s="321"/>
      <c r="W92" s="321"/>
      <c r="X92" s="321"/>
      <c r="Y92" s="321"/>
      <c r="Z92" s="321"/>
      <c r="AA92" s="321"/>
      <c r="AB92" s="321"/>
      <c r="AC92" s="321"/>
      <c r="AD92" s="321"/>
      <c r="AE92" s="321"/>
      <c r="AF92" s="321"/>
      <c r="AG92" s="321"/>
      <c r="AH92" s="321"/>
      <c r="AI92" s="321"/>
      <c r="AJ92" s="321"/>
      <c r="AK92" s="321"/>
      <c r="AL92" s="321"/>
      <c r="AM92" s="321"/>
      <c r="AN92" s="321"/>
      <c r="AO92" s="321"/>
    </row>
    <row r="93" spans="1:41" ht="22">
      <c r="A93" s="27"/>
      <c r="B93" s="341" t="s">
        <v>210</v>
      </c>
      <c r="C93" s="300" t="s">
        <v>127</v>
      </c>
      <c r="D93" s="176">
        <v>7700000</v>
      </c>
      <c r="E93" s="176">
        <f>IF(AND($B$89&gt;=$D$93,$B$89&lt;$D$94),ROUNDDOWN($B$89*0.95,0)-1455000,0)</f>
        <v>0</v>
      </c>
      <c r="F93" s="176">
        <f>IF(AND($B$89&gt;=$D$93,$B$89&lt;$D$94),ROUNDDOWN($B$89*0.95,0)-1355000,0)</f>
        <v>0</v>
      </c>
      <c r="G93" s="235">
        <f>IF(AND($B$89&gt;=$D$93,$B$89&lt;$D$94),ROUNDDOWN($B$89*0.95,0)-1255000,0)</f>
        <v>0</v>
      </c>
      <c r="H93" s="73">
        <v>7700000</v>
      </c>
      <c r="I93" s="176">
        <f>IF(AND($B$89&gt;=$H$93,$B$89&lt;$H$94),ROUNDDOWN($B$89*0.95,0)-1455000,0)</f>
        <v>0</v>
      </c>
      <c r="J93" s="176">
        <f>IF(AND($B$89&gt;=$H$93,$B$89&lt;$H$94),ROUNDDOWN($B$89*0.95,0)-1355000,0)</f>
        <v>0</v>
      </c>
      <c r="K93" s="176">
        <f>IF(AND($B$89&gt;=$H$93,$B$89&lt;$H$94),ROUNDDOWN($B$89*0.95,0)-1255000,0)</f>
        <v>0</v>
      </c>
      <c r="L93" s="27"/>
      <c r="M93" s="27"/>
      <c r="N93" s="12"/>
      <c r="O93" s="12"/>
      <c r="P93" s="12"/>
      <c r="Q93" s="12"/>
      <c r="R93" s="12"/>
      <c r="S93" s="12"/>
      <c r="T93" s="12"/>
      <c r="U93" s="12"/>
      <c r="V93" s="321"/>
      <c r="W93" s="321"/>
      <c r="X93" s="321"/>
      <c r="Y93" s="321"/>
      <c r="Z93" s="321"/>
      <c r="AA93" s="321"/>
      <c r="AB93" s="321"/>
      <c r="AC93" s="321"/>
      <c r="AD93" s="321"/>
      <c r="AE93" s="321"/>
      <c r="AF93" s="321"/>
      <c r="AG93" s="321"/>
      <c r="AH93" s="321"/>
      <c r="AI93" s="321"/>
      <c r="AJ93" s="321"/>
      <c r="AK93" s="321"/>
      <c r="AL93" s="321"/>
      <c r="AM93" s="321"/>
      <c r="AN93" s="321"/>
      <c r="AO93" s="321"/>
    </row>
    <row r="94" spans="1:41">
      <c r="A94" s="27"/>
      <c r="B94" s="349">
        <f>IF(B92=1,IF(C89-150000&lt;0,0,C89-150000),C89)</f>
        <v>0</v>
      </c>
      <c r="C94" s="28">
        <f>IF(Q13&lt;=10000000,1,IF(Q13&lt;=20000000,2,3))</f>
        <v>1</v>
      </c>
      <c r="D94" s="77">
        <v>10000001</v>
      </c>
      <c r="E94" s="77">
        <f>IF($B$89&gt;=$D$94,$B$89-1955000,0)</f>
        <v>0</v>
      </c>
      <c r="F94" s="77">
        <f>IF($B$89&gt;=$D$94,$B$89-1855000,0)</f>
        <v>0</v>
      </c>
      <c r="G94" s="236">
        <f>IF($B$89&gt;=$D$94,$B$89-1755000,0)</f>
        <v>0</v>
      </c>
      <c r="H94" s="74">
        <v>10000001</v>
      </c>
      <c r="I94" s="77">
        <f>IF($B$89&gt;=$H$94,$B$89-1955000,0)</f>
        <v>0</v>
      </c>
      <c r="J94" s="77">
        <f>IF($B$89&gt;=$H$94,$B$89-1855000,0)</f>
        <v>0</v>
      </c>
      <c r="K94" s="77">
        <f>IF($B$89&gt;=$H$94,$B$89-1755000,0)</f>
        <v>0</v>
      </c>
      <c r="L94" s="27"/>
      <c r="M94" s="27"/>
      <c r="N94" s="12"/>
      <c r="O94" s="12"/>
      <c r="P94" s="12"/>
      <c r="Q94" s="12"/>
      <c r="R94" s="12"/>
      <c r="S94" s="12"/>
      <c r="T94" s="12"/>
      <c r="U94" s="12"/>
      <c r="V94" s="321"/>
      <c r="W94" s="321"/>
      <c r="X94" s="321"/>
      <c r="Y94" s="321"/>
      <c r="Z94" s="321"/>
      <c r="AA94" s="321"/>
      <c r="AB94" s="321"/>
      <c r="AC94" s="321"/>
      <c r="AD94" s="321"/>
      <c r="AE94" s="321"/>
      <c r="AF94" s="321"/>
      <c r="AG94" s="321"/>
      <c r="AH94" s="321"/>
      <c r="AI94" s="321"/>
      <c r="AJ94" s="321"/>
      <c r="AK94" s="321"/>
      <c r="AL94" s="321"/>
      <c r="AM94" s="321"/>
      <c r="AN94" s="321"/>
      <c r="AO94" s="321"/>
    </row>
    <row r="95" spans="1:41" s="166" customFormat="1">
      <c r="A95" s="27"/>
      <c r="B95" s="27"/>
      <c r="C95" s="27"/>
      <c r="D95" s="287"/>
      <c r="E95" s="287"/>
      <c r="F95" s="287"/>
      <c r="G95" s="287"/>
      <c r="H95" s="287"/>
      <c r="I95" s="287"/>
      <c r="J95" s="287"/>
      <c r="K95" s="287"/>
      <c r="L95" s="27"/>
      <c r="M95" s="27"/>
      <c r="N95" s="12"/>
      <c r="O95" s="12"/>
      <c r="P95" s="12"/>
      <c r="Q95" s="12"/>
      <c r="R95" s="12"/>
      <c r="S95" s="12"/>
      <c r="T95" s="12"/>
      <c r="U95" s="12"/>
      <c r="V95" s="321"/>
      <c r="W95" s="321"/>
      <c r="X95" s="321"/>
      <c r="Y95" s="321"/>
      <c r="Z95" s="321"/>
      <c r="AA95" s="321"/>
      <c r="AB95" s="321"/>
      <c r="AC95" s="321"/>
      <c r="AD95" s="321"/>
      <c r="AE95" s="321"/>
      <c r="AF95" s="321"/>
      <c r="AG95" s="321"/>
      <c r="AH95" s="321"/>
      <c r="AI95" s="321"/>
      <c r="AJ95" s="321"/>
      <c r="AK95" s="321"/>
      <c r="AL95" s="321"/>
      <c r="AM95" s="321"/>
      <c r="AN95" s="321"/>
      <c r="AO95" s="321"/>
    </row>
    <row r="96" spans="1:41" s="166" customFormat="1">
      <c r="A96" s="27"/>
      <c r="B96" s="27"/>
      <c r="C96" s="27"/>
      <c r="D96" s="467" t="s">
        <v>128</v>
      </c>
      <c r="E96" s="468"/>
      <c r="F96" s="468"/>
      <c r="G96" s="469"/>
      <c r="H96" s="470" t="s">
        <v>64</v>
      </c>
      <c r="I96" s="471"/>
      <c r="J96" s="471"/>
      <c r="K96" s="472"/>
      <c r="L96" s="27"/>
      <c r="M96" s="27"/>
      <c r="N96" s="12"/>
      <c r="O96" s="12"/>
      <c r="P96" s="12"/>
      <c r="Q96" s="12"/>
      <c r="R96" s="12"/>
      <c r="S96" s="12"/>
      <c r="T96" s="12"/>
      <c r="U96" s="12"/>
      <c r="V96" s="321"/>
      <c r="W96" s="321"/>
      <c r="X96" s="321"/>
      <c r="Y96" s="321"/>
      <c r="Z96" s="321"/>
      <c r="AA96" s="321"/>
      <c r="AB96" s="321"/>
      <c r="AC96" s="321"/>
      <c r="AD96" s="321"/>
      <c r="AE96" s="321"/>
      <c r="AF96" s="321"/>
      <c r="AG96" s="321"/>
      <c r="AH96" s="321"/>
      <c r="AI96" s="321"/>
      <c r="AJ96" s="321"/>
      <c r="AK96" s="321"/>
      <c r="AL96" s="321"/>
      <c r="AM96" s="321"/>
      <c r="AN96" s="321"/>
      <c r="AO96" s="321"/>
    </row>
    <row r="97" spans="1:41">
      <c r="A97" s="27" t="s">
        <v>35</v>
      </c>
      <c r="B97" s="33" t="s">
        <v>61</v>
      </c>
      <c r="C97" s="34" t="s">
        <v>62</v>
      </c>
      <c r="D97" s="171" t="s">
        <v>129</v>
      </c>
      <c r="E97" s="18" t="s">
        <v>131</v>
      </c>
      <c r="F97" s="171" t="s">
        <v>132</v>
      </c>
      <c r="G97" s="173" t="s">
        <v>133</v>
      </c>
      <c r="H97" s="172" t="s">
        <v>130</v>
      </c>
      <c r="I97" s="18" t="s">
        <v>131</v>
      </c>
      <c r="J97" s="171" t="s">
        <v>132</v>
      </c>
      <c r="K97" s="18" t="s">
        <v>133</v>
      </c>
      <c r="L97" s="27"/>
      <c r="M97" s="27"/>
      <c r="N97" s="12"/>
      <c r="O97" s="12"/>
      <c r="P97" s="12"/>
      <c r="Q97" s="12"/>
      <c r="R97" s="12"/>
      <c r="S97" s="12"/>
      <c r="T97" s="12"/>
      <c r="U97" s="12"/>
      <c r="V97" s="321"/>
      <c r="W97" s="321"/>
      <c r="X97" s="321"/>
      <c r="Y97" s="321"/>
      <c r="Z97" s="321"/>
      <c r="AA97" s="321"/>
      <c r="AB97" s="321"/>
      <c r="AC97" s="321"/>
      <c r="AD97" s="321"/>
      <c r="AE97" s="321"/>
      <c r="AF97" s="321"/>
      <c r="AG97" s="321"/>
      <c r="AH97" s="321"/>
      <c r="AI97" s="321"/>
      <c r="AJ97" s="321"/>
      <c r="AK97" s="321"/>
      <c r="AL97" s="321"/>
      <c r="AM97" s="321"/>
      <c r="AN97" s="321"/>
      <c r="AO97" s="321"/>
    </row>
    <row r="98" spans="1:41">
      <c r="A98" s="27"/>
      <c r="B98" s="297">
        <f>N14</f>
        <v>0</v>
      </c>
      <c r="C98" s="295">
        <f>IF(B101=0,IF(C103=1,MAX(E98:E103),IF(C103=2,MAX(F98:F103),MAX(G98:G103))),IF(C103=1,MAX(I98:I103),IF(C103=2,MAX(J98:J103),MAX(K98:K103))))</f>
        <v>0</v>
      </c>
      <c r="D98" s="174">
        <v>0</v>
      </c>
      <c r="E98" s="233">
        <f>IF($B$98&lt;$D$99,0,0)</f>
        <v>0</v>
      </c>
      <c r="F98" s="233">
        <f>IF($B$98&lt;$D$99,$B$98-1000000,0)</f>
        <v>-1000000</v>
      </c>
      <c r="G98" s="234">
        <f>IF($B$98&lt;$D$99,$B$98-900000,0)</f>
        <v>-900000</v>
      </c>
      <c r="H98" s="175">
        <v>0</v>
      </c>
      <c r="I98" s="233">
        <f>IF($B$98&lt;$H$99,0,0)</f>
        <v>0</v>
      </c>
      <c r="J98" s="233">
        <f>IF($B$98&lt;$H$99,$B$98-1000000,0)</f>
        <v>-1000000</v>
      </c>
      <c r="K98" s="233">
        <f>IF($B$98&lt;$H$99,$B$98-900000,0)</f>
        <v>-900000</v>
      </c>
      <c r="L98" s="27"/>
      <c r="M98" s="27"/>
      <c r="N98" s="12"/>
      <c r="O98" s="12"/>
      <c r="P98" s="12"/>
      <c r="Q98" s="12"/>
      <c r="R98" s="12"/>
      <c r="S98" s="12"/>
      <c r="T98" s="12"/>
      <c r="U98" s="12"/>
      <c r="V98" s="321"/>
      <c r="W98" s="321"/>
      <c r="X98" s="321"/>
      <c r="Y98" s="321"/>
      <c r="Z98" s="321"/>
      <c r="AA98" s="321"/>
      <c r="AB98" s="321"/>
      <c r="AC98" s="321"/>
      <c r="AD98" s="321"/>
      <c r="AE98" s="321"/>
      <c r="AF98" s="321"/>
      <c r="AG98" s="321"/>
      <c r="AH98" s="321"/>
      <c r="AI98" s="321"/>
      <c r="AJ98" s="321"/>
      <c r="AK98" s="321"/>
      <c r="AL98" s="321"/>
      <c r="AM98" s="321"/>
      <c r="AN98" s="321"/>
      <c r="AO98" s="321"/>
    </row>
    <row r="99" spans="1:41">
      <c r="A99" s="27"/>
      <c r="B99" s="296" t="s">
        <v>134</v>
      </c>
      <c r="C99" s="27">
        <f>IF(R56=1,0,IF(OR(AND(B101=1,B98&gt;1250000),AND(B101=0,B98&gt;600000)),1,0))</f>
        <v>0</v>
      </c>
      <c r="D99" s="176">
        <v>600001</v>
      </c>
      <c r="E99" s="176">
        <f>IF(AND($B$98&gt;=$D$99,$B$98&lt;$D$100),$B$98-600000,0)</f>
        <v>0</v>
      </c>
      <c r="F99" s="176">
        <f>IF(AND($B$98&gt;=$D$99,$B$98&lt;$D$100),$B$98-500000,0)</f>
        <v>0</v>
      </c>
      <c r="G99" s="235">
        <f>IF(AND($B$98&gt;=$D$99,$B$98&lt;$D$100),$B$98-400000,0)</f>
        <v>0</v>
      </c>
      <c r="H99" s="73">
        <v>1100001</v>
      </c>
      <c r="I99" s="176">
        <f>IF(AND($B$98&gt;=$H$99,$B$98&lt;$H$100),$B$98-1100000,0)</f>
        <v>0</v>
      </c>
      <c r="J99" s="176">
        <f>IF(AND($B$98&gt;=$H$99,$B$98&lt;$H$100),$B$98-1000000,0)</f>
        <v>0</v>
      </c>
      <c r="K99" s="176">
        <f>IF(AND($B$98&gt;=$H$99,$B$98&lt;$H$100),$B$98-900000,0)</f>
        <v>0</v>
      </c>
      <c r="L99" s="27"/>
      <c r="M99" s="27"/>
      <c r="N99" s="12"/>
      <c r="O99" s="12"/>
      <c r="P99" s="12"/>
      <c r="Q99" s="12"/>
      <c r="R99" s="12"/>
      <c r="S99" s="12"/>
      <c r="T99" s="12"/>
      <c r="U99" s="12"/>
      <c r="V99" s="321"/>
      <c r="W99" s="321"/>
      <c r="X99" s="321"/>
      <c r="Y99" s="321"/>
      <c r="Z99" s="321"/>
      <c r="AA99" s="321"/>
      <c r="AB99" s="321"/>
      <c r="AC99" s="321"/>
      <c r="AD99" s="321"/>
      <c r="AE99" s="321"/>
      <c r="AF99" s="321"/>
      <c r="AG99" s="321"/>
      <c r="AH99" s="321"/>
      <c r="AI99" s="321"/>
      <c r="AJ99" s="321"/>
      <c r="AK99" s="321"/>
      <c r="AL99" s="321"/>
      <c r="AM99" s="321"/>
      <c r="AN99" s="321"/>
      <c r="AO99" s="321"/>
    </row>
    <row r="100" spans="1:41" ht="19.5" thickBot="1">
      <c r="A100" s="27"/>
      <c r="B100" s="239" t="s">
        <v>195</v>
      </c>
      <c r="C100" s="243" t="s">
        <v>194</v>
      </c>
      <c r="D100" s="176">
        <v>1300000</v>
      </c>
      <c r="E100" s="176">
        <f>IF(AND($B$98&gt;=$D$100,$B$98&lt;$D$101),ROUNDDOWN($B$98*0.75,0)-275000,0)</f>
        <v>0</v>
      </c>
      <c r="F100" s="176">
        <f>IF(AND($B$98&gt;=$D$100,$B$98&lt;$D$101),ROUNDDOWN($B$98*0.75,0)-175000,0)</f>
        <v>0</v>
      </c>
      <c r="G100" s="235">
        <f>IF(AND($B$98&gt;=$D$100,$B$98&lt;$D$101),ROUNDDOWN($B$98*0.75,0)-75000,0)</f>
        <v>0</v>
      </c>
      <c r="H100" s="73">
        <v>3300000</v>
      </c>
      <c r="I100" s="176">
        <f>IF(AND($B$98&gt;=$H$100,$B$98&lt;$H$101),ROUNDDOWN($B$98*0.75,0)-275000,0)</f>
        <v>0</v>
      </c>
      <c r="J100" s="176">
        <f>IF(AND($B$98&gt;=$H$100,$B$98&lt;$H$101),ROUNDDOWN($B$98*0.75,0)-175000,0)</f>
        <v>0</v>
      </c>
      <c r="K100" s="176">
        <f>IF(AND($B$98&gt;=$H$100,$B$98&lt;$H$101),ROUNDDOWN($B$98*0.75,0)-75000,0)</f>
        <v>0</v>
      </c>
      <c r="L100" s="27"/>
      <c r="M100" s="27"/>
      <c r="N100" s="12"/>
      <c r="O100" s="12"/>
      <c r="P100" s="12"/>
      <c r="Q100" s="12"/>
      <c r="R100" s="12"/>
      <c r="S100" s="12"/>
      <c r="T100" s="12"/>
      <c r="U100" s="12"/>
      <c r="V100" s="321"/>
      <c r="W100" s="321"/>
      <c r="X100" s="321"/>
      <c r="Y100" s="321"/>
      <c r="Z100" s="321"/>
      <c r="AA100" s="321"/>
      <c r="AB100" s="321"/>
      <c r="AC100" s="321"/>
      <c r="AD100" s="321"/>
      <c r="AE100" s="321"/>
      <c r="AF100" s="321"/>
      <c r="AG100" s="321"/>
      <c r="AH100" s="321"/>
      <c r="AI100" s="321"/>
      <c r="AJ100" s="321"/>
      <c r="AK100" s="321"/>
      <c r="AL100" s="321"/>
      <c r="AM100" s="321"/>
      <c r="AN100" s="321"/>
      <c r="AO100" s="321"/>
    </row>
    <row r="101" spans="1:41" ht="13.5" thickBot="1">
      <c r="A101" s="27"/>
      <c r="B101" s="299">
        <f>IF(C101="自動",IF($B$68="生年月日",IF(R23&gt;64,1,0),IF(OR(B14=1,B14&gt;3),1,0)),IF(C101="65歳以上",1,0))</f>
        <v>1</v>
      </c>
      <c r="C101" s="320" t="s">
        <v>219</v>
      </c>
      <c r="D101" s="176">
        <v>4100000</v>
      </c>
      <c r="E101" s="176">
        <f>IF(AND($B$98&gt;=$D$101,$B$98&lt;$D$102),ROUNDDOWN($B$98*0.85,0)-685000,0)</f>
        <v>0</v>
      </c>
      <c r="F101" s="176">
        <f>IF(AND($B$98&gt;=$D$101,$B$98&lt;$D$102),ROUNDDOWN($B$98*0.85,0)-585000,0)</f>
        <v>0</v>
      </c>
      <c r="G101" s="235">
        <f>IF(AND($B$98&gt;=$D$101,$B$98&lt;$D$102),ROUNDDOWN($B$98*0.85,0)-485000,0)</f>
        <v>0</v>
      </c>
      <c r="H101" s="73">
        <v>4100000</v>
      </c>
      <c r="I101" s="176">
        <f>IF(AND($B$98&gt;=$H$101,$B$98&lt;$H$102),ROUNDDOWN($B$98*0.85,0)-685000,0)</f>
        <v>0</v>
      </c>
      <c r="J101" s="176">
        <f>IF(AND($B$98&gt;=$H$101,$B$98&lt;$H$102),ROUNDDOWN($B$98*0.85,0)-585000,0)</f>
        <v>0</v>
      </c>
      <c r="K101" s="176">
        <f>IF(AND($B$98&gt;=$H$101,$B$98&lt;$H$102),ROUNDDOWN($B$98*0.85,0)-485000,0)</f>
        <v>0</v>
      </c>
      <c r="L101" s="27"/>
      <c r="M101" s="27"/>
      <c r="N101" s="12"/>
      <c r="O101" s="12"/>
      <c r="P101" s="12"/>
      <c r="Q101" s="12"/>
      <c r="R101" s="12"/>
      <c r="S101" s="12"/>
      <c r="T101" s="12"/>
      <c r="U101" s="12"/>
      <c r="V101" s="321"/>
      <c r="W101" s="321"/>
      <c r="X101" s="321"/>
      <c r="Y101" s="321"/>
      <c r="Z101" s="321"/>
      <c r="AA101" s="321"/>
      <c r="AB101" s="321"/>
      <c r="AC101" s="321"/>
      <c r="AD101" s="321"/>
      <c r="AE101" s="321"/>
      <c r="AF101" s="321"/>
      <c r="AG101" s="321"/>
      <c r="AH101" s="321"/>
      <c r="AI101" s="321"/>
      <c r="AJ101" s="321"/>
      <c r="AK101" s="321"/>
      <c r="AL101" s="321"/>
      <c r="AM101" s="321"/>
      <c r="AN101" s="321"/>
      <c r="AO101" s="321"/>
    </row>
    <row r="102" spans="1:41" ht="22">
      <c r="A102" s="27"/>
      <c r="B102" s="341" t="s">
        <v>210</v>
      </c>
      <c r="C102" s="300" t="s">
        <v>127</v>
      </c>
      <c r="D102" s="176">
        <v>7700000</v>
      </c>
      <c r="E102" s="176">
        <f>IF(AND($B$98&gt;=$D$102,$B$98&lt;$D$103),ROUNDDOWN($B$98*0.95,0)-1455000,0)</f>
        <v>0</v>
      </c>
      <c r="F102" s="176">
        <f>IF(AND($B$98&gt;=$D$102,$B$98&lt;$D$103),ROUNDDOWN($B$98*0.95,0)-1355000,0)</f>
        <v>0</v>
      </c>
      <c r="G102" s="235">
        <f>IF(AND($B$98&gt;=$D$102,$B$98&lt;$D$103),ROUNDDOWN($B$98*0.95,0)-1255000,0)</f>
        <v>0</v>
      </c>
      <c r="H102" s="73">
        <v>7700000</v>
      </c>
      <c r="I102" s="176">
        <f>IF(AND($B$98&gt;=$H$102,$B$98&lt;$H$103),ROUNDDOWN($B$98*0.95,0)-1455000,0)</f>
        <v>0</v>
      </c>
      <c r="J102" s="176">
        <f>IF(AND($B$98&gt;=$H$102,$B$98&lt;$H$103),ROUNDDOWN($B$98*0.95,0)-1355000,0)</f>
        <v>0</v>
      </c>
      <c r="K102" s="176">
        <f>IF(AND($B$98&gt;=$H$102,$B$98&lt;$H$103),ROUNDDOWN($B$98*0.95,0)-1255000,0)</f>
        <v>0</v>
      </c>
      <c r="L102" s="27"/>
      <c r="M102" s="27"/>
      <c r="N102" s="12"/>
      <c r="O102" s="12"/>
      <c r="P102" s="12"/>
      <c r="Q102" s="12"/>
      <c r="R102" s="12"/>
      <c r="S102" s="12"/>
      <c r="T102" s="12"/>
      <c r="U102" s="12"/>
      <c r="V102" s="321"/>
      <c r="W102" s="321"/>
      <c r="X102" s="321"/>
      <c r="Y102" s="321"/>
      <c r="Z102" s="321"/>
      <c r="AA102" s="321"/>
      <c r="AB102" s="321"/>
      <c r="AC102" s="321"/>
      <c r="AD102" s="321"/>
      <c r="AE102" s="321"/>
      <c r="AF102" s="321"/>
      <c r="AG102" s="321"/>
      <c r="AH102" s="321"/>
      <c r="AI102" s="321"/>
      <c r="AJ102" s="321"/>
      <c r="AK102" s="321"/>
      <c r="AL102" s="321"/>
      <c r="AM102" s="321"/>
      <c r="AN102" s="321"/>
      <c r="AO102" s="321"/>
    </row>
    <row r="103" spans="1:41">
      <c r="A103" s="27"/>
      <c r="B103" s="349">
        <f>IF(B101=1,IF(C98-150000&lt;0,0,C98-150000),C98)</f>
        <v>0</v>
      </c>
      <c r="C103" s="28">
        <f>IF(Q14&lt;=10000000,1,IF(Q14&lt;=20000000,2,3))</f>
        <v>1</v>
      </c>
      <c r="D103" s="77">
        <v>10000001</v>
      </c>
      <c r="E103" s="77">
        <f>IF($B$98&gt;=$D$103,$B$98-1955000,0)</f>
        <v>0</v>
      </c>
      <c r="F103" s="77">
        <f>IF($B$98&gt;=$D$103,$B$98-1855000,0)</f>
        <v>0</v>
      </c>
      <c r="G103" s="236">
        <f>IF($B$98&gt;=$D$103,$B$98-1755000,0)</f>
        <v>0</v>
      </c>
      <c r="H103" s="74">
        <v>10000001</v>
      </c>
      <c r="I103" s="77">
        <f>IF($B$98&gt;=$H$103,$B$98-1955000,0)</f>
        <v>0</v>
      </c>
      <c r="J103" s="77">
        <f>IF($B$98&gt;=$H$103,$B$98-1855000,0)</f>
        <v>0</v>
      </c>
      <c r="K103" s="77">
        <f>IF($B$98&gt;=$H$103,$B$98-1755000,0)</f>
        <v>0</v>
      </c>
      <c r="L103" s="27"/>
      <c r="M103" s="27"/>
      <c r="N103" s="12"/>
      <c r="O103" s="12"/>
      <c r="P103" s="12"/>
      <c r="Q103" s="12"/>
      <c r="R103" s="12"/>
      <c r="S103" s="12"/>
      <c r="T103" s="12"/>
      <c r="U103" s="12"/>
      <c r="V103" s="321"/>
      <c r="W103" s="321"/>
      <c r="X103" s="321"/>
      <c r="Y103" s="321"/>
      <c r="Z103" s="321"/>
      <c r="AA103" s="321"/>
      <c r="AB103" s="321"/>
      <c r="AC103" s="321"/>
      <c r="AD103" s="321"/>
      <c r="AE103" s="321"/>
      <c r="AF103" s="321"/>
      <c r="AG103" s="321"/>
      <c r="AH103" s="321"/>
      <c r="AI103" s="321"/>
      <c r="AJ103" s="321"/>
      <c r="AK103" s="321"/>
      <c r="AL103" s="321"/>
      <c r="AM103" s="321"/>
      <c r="AN103" s="321"/>
      <c r="AO103" s="321"/>
    </row>
    <row r="104" spans="1:41" s="166" customFormat="1">
      <c r="A104" s="27"/>
      <c r="B104" s="27"/>
      <c r="C104" s="27"/>
      <c r="D104" s="287"/>
      <c r="E104" s="287"/>
      <c r="F104" s="287"/>
      <c r="G104" s="287"/>
      <c r="H104" s="287"/>
      <c r="I104" s="287"/>
      <c r="J104" s="287"/>
      <c r="K104" s="287"/>
      <c r="L104" s="27"/>
      <c r="M104" s="27"/>
      <c r="N104" s="12"/>
      <c r="O104" s="12"/>
      <c r="P104" s="12"/>
      <c r="Q104" s="12"/>
      <c r="R104" s="12"/>
      <c r="S104" s="12"/>
      <c r="T104" s="12"/>
      <c r="U104" s="12"/>
      <c r="V104" s="321"/>
      <c r="W104" s="321"/>
      <c r="X104" s="321"/>
      <c r="Y104" s="321"/>
      <c r="Z104" s="321"/>
      <c r="AA104" s="321"/>
      <c r="AB104" s="321"/>
      <c r="AC104" s="321"/>
      <c r="AD104" s="321"/>
      <c r="AE104" s="321"/>
      <c r="AF104" s="321"/>
      <c r="AG104" s="321"/>
      <c r="AH104" s="321"/>
      <c r="AI104" s="321"/>
      <c r="AJ104" s="321"/>
      <c r="AK104" s="321"/>
      <c r="AL104" s="321"/>
      <c r="AM104" s="321"/>
      <c r="AN104" s="321"/>
      <c r="AO104" s="321"/>
    </row>
    <row r="105" spans="1:41" s="166" customFormat="1">
      <c r="A105" s="27"/>
      <c r="B105" s="27"/>
      <c r="C105" s="27"/>
      <c r="D105" s="467" t="s">
        <v>128</v>
      </c>
      <c r="E105" s="468"/>
      <c r="F105" s="468"/>
      <c r="G105" s="469"/>
      <c r="H105" s="470" t="s">
        <v>64</v>
      </c>
      <c r="I105" s="471"/>
      <c r="J105" s="471"/>
      <c r="K105" s="472"/>
      <c r="L105" s="27"/>
      <c r="M105" s="27"/>
      <c r="N105" s="12"/>
      <c r="O105" s="12"/>
      <c r="P105" s="12"/>
      <c r="Q105" s="12"/>
      <c r="R105" s="12"/>
      <c r="S105" s="12"/>
      <c r="T105" s="12"/>
      <c r="U105" s="12"/>
      <c r="V105" s="321"/>
      <c r="W105" s="321"/>
      <c r="X105" s="321"/>
      <c r="Y105" s="321"/>
      <c r="Z105" s="321"/>
      <c r="AA105" s="321"/>
      <c r="AB105" s="321"/>
      <c r="AC105" s="321"/>
      <c r="AD105" s="321"/>
      <c r="AE105" s="321"/>
      <c r="AF105" s="321"/>
      <c r="AG105" s="321"/>
      <c r="AH105" s="321"/>
      <c r="AI105" s="321"/>
      <c r="AJ105" s="321"/>
      <c r="AK105" s="321"/>
      <c r="AL105" s="321"/>
      <c r="AM105" s="321"/>
      <c r="AN105" s="321"/>
      <c r="AO105" s="321"/>
    </row>
    <row r="106" spans="1:41">
      <c r="A106" s="27" t="s">
        <v>36</v>
      </c>
      <c r="B106" s="33" t="s">
        <v>61</v>
      </c>
      <c r="C106" s="34" t="s">
        <v>62</v>
      </c>
      <c r="D106" s="171" t="s">
        <v>129</v>
      </c>
      <c r="E106" s="18" t="s">
        <v>131</v>
      </c>
      <c r="F106" s="171" t="s">
        <v>132</v>
      </c>
      <c r="G106" s="173" t="s">
        <v>133</v>
      </c>
      <c r="H106" s="172" t="s">
        <v>130</v>
      </c>
      <c r="I106" s="18" t="s">
        <v>131</v>
      </c>
      <c r="J106" s="171" t="s">
        <v>132</v>
      </c>
      <c r="K106" s="18" t="s">
        <v>133</v>
      </c>
      <c r="L106" s="27"/>
      <c r="M106" s="27"/>
      <c r="N106" s="12"/>
      <c r="O106" s="12"/>
      <c r="P106" s="12"/>
      <c r="Q106" s="12"/>
      <c r="R106" s="12"/>
      <c r="S106" s="12"/>
      <c r="T106" s="12"/>
      <c r="U106" s="12"/>
      <c r="V106" s="321"/>
      <c r="W106" s="321"/>
      <c r="X106" s="321"/>
      <c r="Y106" s="321"/>
      <c r="Z106" s="321"/>
      <c r="AA106" s="321"/>
      <c r="AB106" s="321"/>
      <c r="AC106" s="321"/>
      <c r="AD106" s="321"/>
      <c r="AE106" s="321"/>
      <c r="AF106" s="321"/>
      <c r="AG106" s="321"/>
      <c r="AH106" s="321"/>
      <c r="AI106" s="321"/>
      <c r="AJ106" s="321"/>
      <c r="AK106" s="321"/>
      <c r="AL106" s="321"/>
      <c r="AM106" s="321"/>
      <c r="AN106" s="321"/>
      <c r="AO106" s="321"/>
    </row>
    <row r="107" spans="1:41">
      <c r="A107" s="27"/>
      <c r="B107" s="297">
        <f>N15</f>
        <v>0</v>
      </c>
      <c r="C107" s="295">
        <f>IF(B110=0,IF(C112=1,MAX(E107:E112),IF(C112=2,MAX(F107:F112),MAX(G107:G112))),IF(C112=1,MAX(I107:I112),IF(C112=2,MAX(J107:J112),MAX(K107:K112))))</f>
        <v>0</v>
      </c>
      <c r="D107" s="174">
        <v>0</v>
      </c>
      <c r="E107" s="233">
        <f>IF($B$107&lt;$D$108,0,0)</f>
        <v>0</v>
      </c>
      <c r="F107" s="233">
        <f>IF($B$107&lt;$D$108,$B$107-1000000,0)</f>
        <v>-1000000</v>
      </c>
      <c r="G107" s="234">
        <f>IF($B$107&lt;$D$108,$B$107-900000,0)</f>
        <v>-900000</v>
      </c>
      <c r="H107" s="175">
        <v>0</v>
      </c>
      <c r="I107" s="233">
        <f>IF($B$107&lt;$H$108,0,0)</f>
        <v>0</v>
      </c>
      <c r="J107" s="233">
        <f>IF($B$107&lt;$H$108,$B$107-1000000,0)</f>
        <v>-1000000</v>
      </c>
      <c r="K107" s="233">
        <f>IF($B$107&lt;$H$108,$B$107-900000,0)</f>
        <v>-900000</v>
      </c>
      <c r="L107" s="27"/>
      <c r="M107" s="27"/>
      <c r="N107" s="12"/>
      <c r="O107" s="12"/>
      <c r="P107" s="12"/>
      <c r="Q107" s="12"/>
      <c r="R107" s="12"/>
      <c r="S107" s="12"/>
      <c r="T107" s="12"/>
      <c r="U107" s="12"/>
      <c r="V107" s="321"/>
      <c r="W107" s="321"/>
      <c r="X107" s="321"/>
      <c r="Y107" s="321"/>
      <c r="Z107" s="321"/>
      <c r="AA107" s="321"/>
      <c r="AB107" s="321"/>
      <c r="AC107" s="321"/>
      <c r="AD107" s="321"/>
      <c r="AE107" s="321"/>
      <c r="AF107" s="321"/>
      <c r="AG107" s="321"/>
      <c r="AH107" s="321"/>
      <c r="AI107" s="321"/>
      <c r="AJ107" s="321"/>
      <c r="AK107" s="321"/>
      <c r="AL107" s="321"/>
      <c r="AM107" s="321"/>
      <c r="AN107" s="321"/>
      <c r="AO107" s="321"/>
    </row>
    <row r="108" spans="1:41">
      <c r="A108" s="27"/>
      <c r="B108" s="296" t="s">
        <v>134</v>
      </c>
      <c r="C108" s="27">
        <f>IF(R57=1,0,IF(OR(AND(B110=1,B107&gt;1250000),AND(B110=0,B107&gt;600000)),1,0))</f>
        <v>0</v>
      </c>
      <c r="D108" s="176">
        <v>600001</v>
      </c>
      <c r="E108" s="176">
        <f>IF(AND($B$107&gt;=$D$108,$B$107&lt;$D$109),$B$107-600000,0)</f>
        <v>0</v>
      </c>
      <c r="F108" s="176">
        <f>IF(AND($B$107&gt;=$D$108,$B$107&lt;$D$109),$B$107-500000,0)</f>
        <v>0</v>
      </c>
      <c r="G108" s="235">
        <f>IF(AND($B$107&gt;=$D$108,$B$107&lt;$D$109),$B$107-400000,0)</f>
        <v>0</v>
      </c>
      <c r="H108" s="73">
        <v>1100001</v>
      </c>
      <c r="I108" s="176">
        <f>IF(AND($B$107&gt;=$H$108,$B$107&lt;$H$109),$B$107-1100000,0)</f>
        <v>0</v>
      </c>
      <c r="J108" s="176">
        <f>IF(AND($B$107&gt;=$H$108,$B$107&lt;$H$109),$B$107-1000000,0)</f>
        <v>0</v>
      </c>
      <c r="K108" s="176">
        <f>IF(AND($B$107&gt;=$H$108,$B$107&lt;$H$109),$B$107-900000,0)</f>
        <v>0</v>
      </c>
      <c r="L108" s="27"/>
      <c r="M108" s="27"/>
      <c r="N108" s="12"/>
      <c r="O108" s="12"/>
      <c r="P108" s="12"/>
      <c r="Q108" s="12"/>
      <c r="R108" s="12"/>
      <c r="S108" s="12"/>
      <c r="T108" s="12"/>
      <c r="U108" s="12"/>
      <c r="V108" s="321"/>
      <c r="W108" s="321"/>
      <c r="X108" s="321"/>
      <c r="Y108" s="321"/>
      <c r="Z108" s="321"/>
      <c r="AA108" s="321"/>
      <c r="AB108" s="321"/>
      <c r="AC108" s="321"/>
      <c r="AD108" s="321"/>
      <c r="AE108" s="321"/>
      <c r="AF108" s="321"/>
      <c r="AG108" s="321"/>
      <c r="AH108" s="321"/>
      <c r="AI108" s="321"/>
      <c r="AJ108" s="321"/>
      <c r="AK108" s="321"/>
      <c r="AL108" s="321"/>
      <c r="AM108" s="321"/>
      <c r="AN108" s="321"/>
      <c r="AO108" s="321"/>
    </row>
    <row r="109" spans="1:41" ht="19.5" thickBot="1">
      <c r="A109" s="27"/>
      <c r="B109" s="239" t="s">
        <v>195</v>
      </c>
      <c r="C109" s="243" t="s">
        <v>194</v>
      </c>
      <c r="D109" s="176">
        <v>1300000</v>
      </c>
      <c r="E109" s="176">
        <f>IF(AND($B$107&gt;=$D$109,$B$107&lt;$D$110),ROUNDDOWN($B$107*0.75,0)-275000,0)</f>
        <v>0</v>
      </c>
      <c r="F109" s="176">
        <f>IF(AND($B$107&gt;=$D$109,$B$107&lt;$D$110),ROUNDDOWN($B$107*0.75,0)-175000,0)</f>
        <v>0</v>
      </c>
      <c r="G109" s="235">
        <f>IF(AND($B$107&gt;=$D$109,$B$107&lt;$D$110),ROUNDDOWN($B$107*0.75,0)-75000,0)</f>
        <v>0</v>
      </c>
      <c r="H109" s="73">
        <v>3300000</v>
      </c>
      <c r="I109" s="176">
        <f>IF(AND($B$107&gt;=$H$109,$B$107&lt;$H$110),ROUNDDOWN($B$107*0.75,0)-275000,0)</f>
        <v>0</v>
      </c>
      <c r="J109" s="176">
        <f>IF(AND($B$107&gt;=$H$109,$B$107&lt;$H$110),ROUNDDOWN($B$107*0.75,0)-175000,0)</f>
        <v>0</v>
      </c>
      <c r="K109" s="176">
        <f>IF(AND($B$107&gt;=$H$109,$B$107&lt;$H$110),ROUNDDOWN($B$107*0.75,0)-75000,0)</f>
        <v>0</v>
      </c>
      <c r="L109" s="27"/>
      <c r="M109" s="27"/>
      <c r="N109" s="12"/>
      <c r="O109" s="12"/>
      <c r="P109" s="12"/>
      <c r="Q109" s="12"/>
      <c r="R109" s="12"/>
      <c r="S109" s="12"/>
      <c r="T109" s="12"/>
      <c r="U109" s="12"/>
      <c r="V109" s="321"/>
      <c r="W109" s="321"/>
      <c r="X109" s="321"/>
      <c r="Y109" s="321"/>
      <c r="Z109" s="321"/>
      <c r="AA109" s="321"/>
      <c r="AB109" s="321"/>
      <c r="AC109" s="321"/>
      <c r="AD109" s="321"/>
      <c r="AE109" s="321"/>
      <c r="AF109" s="321"/>
      <c r="AG109" s="321"/>
      <c r="AH109" s="321"/>
      <c r="AI109" s="321"/>
      <c r="AJ109" s="321"/>
      <c r="AK109" s="321"/>
      <c r="AL109" s="321"/>
      <c r="AM109" s="321"/>
      <c r="AN109" s="321"/>
      <c r="AO109" s="321"/>
    </row>
    <row r="110" spans="1:41" ht="13.5" thickBot="1">
      <c r="A110" s="27"/>
      <c r="B110" s="299">
        <f>IF(C110="自動",IF($B$68="生年月日",IF(R24&gt;64,1,0),IF(OR(B15=1,B15&gt;3),1,0)),IF(C110="65歳以上",1,0))</f>
        <v>1</v>
      </c>
      <c r="C110" s="320" t="s">
        <v>219</v>
      </c>
      <c r="D110" s="176">
        <v>4100000</v>
      </c>
      <c r="E110" s="176">
        <f>IF(AND($B$107&gt;=$D$110,$B$107&lt;$D$111),ROUNDDOWN($B$107*0.85,0)-685000,0)</f>
        <v>0</v>
      </c>
      <c r="F110" s="176">
        <f>IF(AND($B$107&gt;=$D$110,$B$107&lt;$D$111),ROUNDDOWN($B$107*0.85,0)-585000,0)</f>
        <v>0</v>
      </c>
      <c r="G110" s="235">
        <f>IF(AND($B$107&gt;=$D$110,$B$107&lt;$D$111),ROUNDDOWN($B$107*0.85,0)-485000,0)</f>
        <v>0</v>
      </c>
      <c r="H110" s="73">
        <v>4100000</v>
      </c>
      <c r="I110" s="176">
        <f>IF(AND($B$107&gt;=$H$110,$B$107&lt;$H$111),ROUNDDOWN($B$107*0.85,0)-685000,0)</f>
        <v>0</v>
      </c>
      <c r="J110" s="176">
        <f>IF(AND($B$107&gt;=$H$110,$B$107&lt;$H$111),ROUNDDOWN($B$107*0.85,0)-585000,0)</f>
        <v>0</v>
      </c>
      <c r="K110" s="176">
        <f>IF(AND($B$107&gt;=$H$110,$B$107&lt;$H$111),ROUNDDOWN($B$107*0.85,0)-485000,0)</f>
        <v>0</v>
      </c>
      <c r="L110" s="27"/>
      <c r="M110" s="27"/>
      <c r="N110" s="12"/>
      <c r="O110" s="12"/>
      <c r="P110" s="12"/>
      <c r="Q110" s="12"/>
      <c r="R110" s="12"/>
      <c r="S110" s="12"/>
      <c r="T110" s="12"/>
      <c r="U110" s="12"/>
      <c r="V110" s="321"/>
      <c r="W110" s="321"/>
      <c r="X110" s="321"/>
      <c r="Y110" s="321"/>
      <c r="Z110" s="321"/>
      <c r="AA110" s="321"/>
      <c r="AB110" s="321"/>
      <c r="AC110" s="321"/>
      <c r="AD110" s="321"/>
      <c r="AE110" s="321"/>
      <c r="AF110" s="321"/>
      <c r="AG110" s="321"/>
      <c r="AH110" s="321"/>
      <c r="AI110" s="321"/>
      <c r="AJ110" s="321"/>
      <c r="AK110" s="321"/>
      <c r="AL110" s="321"/>
      <c r="AM110" s="321"/>
      <c r="AN110" s="321"/>
      <c r="AO110" s="321"/>
    </row>
    <row r="111" spans="1:41" ht="22">
      <c r="A111" s="27"/>
      <c r="B111" s="341" t="s">
        <v>210</v>
      </c>
      <c r="C111" s="300" t="s">
        <v>127</v>
      </c>
      <c r="D111" s="176">
        <v>7700000</v>
      </c>
      <c r="E111" s="176">
        <f>IF(AND($B$107&gt;=$D$111,$B$107&lt;$D$112),ROUNDDOWN($B$107*0.95,0)-1455000,0)</f>
        <v>0</v>
      </c>
      <c r="F111" s="176">
        <f>IF(AND($B$107&gt;=$D$111,$B$107&lt;$D$112),ROUNDDOWN($B$107*0.95,0)-1355000,0)</f>
        <v>0</v>
      </c>
      <c r="G111" s="235">
        <f>IF(AND($B$107&gt;=$D$111,$B$107&lt;$D$112),ROUNDDOWN($B$107*0.95,0)-1255000,0)</f>
        <v>0</v>
      </c>
      <c r="H111" s="73">
        <v>7700000</v>
      </c>
      <c r="I111" s="176">
        <f>IF(AND($B$107&gt;=$H$111,$B$107&lt;$H$112),ROUNDDOWN($B$107*0.95,0)-1455000,0)</f>
        <v>0</v>
      </c>
      <c r="J111" s="176">
        <f>IF(AND($B$107&gt;=$H$111,$B$107&lt;$H$112),ROUNDDOWN($B$107*0.95,0)-1355000,0)</f>
        <v>0</v>
      </c>
      <c r="K111" s="176">
        <f>IF(AND($B$107&gt;=$H$111,$B$107&lt;$H$112),ROUNDDOWN($B$107*0.95,0)-1255000,0)</f>
        <v>0</v>
      </c>
      <c r="L111" s="27"/>
      <c r="M111" s="27"/>
      <c r="N111" s="12"/>
      <c r="O111" s="12"/>
      <c r="P111" s="12"/>
      <c r="Q111" s="12"/>
      <c r="R111" s="12"/>
      <c r="S111" s="12"/>
      <c r="T111" s="12"/>
      <c r="U111" s="12"/>
      <c r="V111" s="321"/>
      <c r="W111" s="321"/>
      <c r="X111" s="321"/>
      <c r="Y111" s="321"/>
      <c r="Z111" s="321"/>
      <c r="AA111" s="321"/>
      <c r="AB111" s="321"/>
      <c r="AC111" s="321"/>
      <c r="AD111" s="321"/>
      <c r="AE111" s="321"/>
      <c r="AF111" s="321"/>
      <c r="AG111" s="321"/>
      <c r="AH111" s="321"/>
      <c r="AI111" s="321"/>
      <c r="AJ111" s="321"/>
      <c r="AK111" s="321"/>
      <c r="AL111" s="321"/>
      <c r="AM111" s="321"/>
      <c r="AN111" s="321"/>
      <c r="AO111" s="321"/>
    </row>
    <row r="112" spans="1:41" s="166" customFormat="1">
      <c r="A112" s="27"/>
      <c r="B112" s="349">
        <f>IF(B110=1,IF(C107-150000&lt;0,0,C107-150000),C107)</f>
        <v>0</v>
      </c>
      <c r="C112" s="28">
        <f>IF(Q15&lt;=10000000,1,IF(Q15&lt;=20000000,2,3))</f>
        <v>1</v>
      </c>
      <c r="D112" s="77">
        <v>10000001</v>
      </c>
      <c r="E112" s="77">
        <f>IF($B$107&gt;=$D$112,$B$107-1955000,0)</f>
        <v>0</v>
      </c>
      <c r="F112" s="77">
        <f>IF($B$107&gt;=$D$112,$B$107-1855000,0)</f>
        <v>0</v>
      </c>
      <c r="G112" s="236">
        <f>IF($B$107&gt;=$D$112,$B$107-1755000,0)</f>
        <v>0</v>
      </c>
      <c r="H112" s="74">
        <v>10000001</v>
      </c>
      <c r="I112" s="77">
        <f>IF($B$107&gt;=$H$112,$B$107-1955000,0)</f>
        <v>0</v>
      </c>
      <c r="J112" s="77">
        <f>IF($B$107&gt;=$H$112,$B$107-1855000,0)</f>
        <v>0</v>
      </c>
      <c r="K112" s="77">
        <f>IF($B$107&gt;=$H$112,$B$107-1755000,0)</f>
        <v>0</v>
      </c>
      <c r="L112" s="27"/>
      <c r="M112" s="27"/>
      <c r="N112" s="12"/>
      <c r="O112" s="12"/>
      <c r="P112" s="12"/>
      <c r="Q112" s="12"/>
      <c r="R112" s="12"/>
      <c r="S112" s="12"/>
      <c r="T112" s="12"/>
      <c r="U112" s="12"/>
      <c r="V112" s="321"/>
      <c r="W112" s="321"/>
      <c r="X112" s="321"/>
      <c r="Y112" s="321"/>
      <c r="Z112" s="321"/>
      <c r="AA112" s="321"/>
      <c r="AB112" s="321"/>
      <c r="AC112" s="321"/>
      <c r="AD112" s="321"/>
      <c r="AE112" s="321"/>
      <c r="AF112" s="321"/>
      <c r="AG112" s="321"/>
      <c r="AH112" s="321"/>
      <c r="AI112" s="321"/>
      <c r="AJ112" s="321"/>
      <c r="AK112" s="321"/>
      <c r="AL112" s="321"/>
      <c r="AM112" s="321"/>
      <c r="AN112" s="321"/>
      <c r="AO112" s="321"/>
    </row>
    <row r="113" spans="1:41">
      <c r="A113" s="27"/>
      <c r="B113" s="27"/>
      <c r="C113" s="27"/>
      <c r="D113" s="287"/>
      <c r="E113" s="287"/>
      <c r="F113" s="287"/>
      <c r="G113" s="287"/>
      <c r="H113" s="287"/>
      <c r="I113" s="287"/>
      <c r="J113" s="287"/>
      <c r="K113" s="287"/>
      <c r="L113" s="27"/>
      <c r="M113" s="27"/>
      <c r="N113" s="12"/>
      <c r="O113" s="12"/>
      <c r="P113" s="12"/>
      <c r="Q113" s="12"/>
      <c r="R113" s="12"/>
      <c r="S113" s="12"/>
      <c r="T113" s="12"/>
      <c r="U113" s="12"/>
      <c r="V113" s="321"/>
      <c r="W113" s="321"/>
      <c r="X113" s="321"/>
      <c r="Y113" s="321"/>
      <c r="Z113" s="321"/>
      <c r="AA113" s="321"/>
      <c r="AB113" s="321"/>
      <c r="AC113" s="321"/>
      <c r="AD113" s="321"/>
      <c r="AE113" s="321"/>
      <c r="AF113" s="321"/>
      <c r="AG113" s="321"/>
      <c r="AH113" s="321"/>
      <c r="AI113" s="321"/>
      <c r="AJ113" s="321"/>
      <c r="AK113" s="321"/>
      <c r="AL113" s="321"/>
      <c r="AM113" s="321"/>
      <c r="AN113" s="321"/>
      <c r="AO113" s="321"/>
    </row>
    <row r="114" spans="1:41" s="166" customFormat="1">
      <c r="A114" s="27"/>
      <c r="B114" s="27"/>
      <c r="C114" s="27"/>
      <c r="D114" s="467" t="s">
        <v>128</v>
      </c>
      <c r="E114" s="468"/>
      <c r="F114" s="468"/>
      <c r="G114" s="469"/>
      <c r="H114" s="470" t="s">
        <v>64</v>
      </c>
      <c r="I114" s="471"/>
      <c r="J114" s="471"/>
      <c r="K114" s="472"/>
      <c r="L114" s="27"/>
      <c r="M114" s="27"/>
      <c r="N114" s="12"/>
      <c r="O114" s="12"/>
      <c r="P114" s="12"/>
      <c r="Q114" s="12"/>
      <c r="R114" s="12"/>
      <c r="S114" s="12"/>
      <c r="T114" s="12"/>
      <c r="U114" s="12"/>
      <c r="V114" s="321"/>
      <c r="W114" s="321"/>
      <c r="X114" s="321"/>
      <c r="Y114" s="321"/>
      <c r="Z114" s="321"/>
      <c r="AA114" s="321"/>
      <c r="AB114" s="321"/>
      <c r="AC114" s="321"/>
      <c r="AD114" s="321"/>
      <c r="AE114" s="321"/>
      <c r="AF114" s="321"/>
      <c r="AG114" s="321"/>
      <c r="AH114" s="321"/>
      <c r="AI114" s="321"/>
      <c r="AJ114" s="321"/>
      <c r="AK114" s="321"/>
      <c r="AL114" s="321"/>
      <c r="AM114" s="321"/>
      <c r="AN114" s="321"/>
      <c r="AO114" s="321"/>
    </row>
    <row r="115" spans="1:41">
      <c r="A115" s="27" t="s">
        <v>37</v>
      </c>
      <c r="B115" s="33" t="s">
        <v>61</v>
      </c>
      <c r="C115" s="34" t="s">
        <v>62</v>
      </c>
      <c r="D115" s="171" t="s">
        <v>129</v>
      </c>
      <c r="E115" s="18" t="s">
        <v>131</v>
      </c>
      <c r="F115" s="171" t="s">
        <v>132</v>
      </c>
      <c r="G115" s="173" t="s">
        <v>133</v>
      </c>
      <c r="H115" s="172" t="s">
        <v>130</v>
      </c>
      <c r="I115" s="18" t="s">
        <v>131</v>
      </c>
      <c r="J115" s="171" t="s">
        <v>132</v>
      </c>
      <c r="K115" s="18" t="s">
        <v>133</v>
      </c>
      <c r="L115" s="27"/>
      <c r="M115" s="27"/>
      <c r="N115" s="12"/>
      <c r="O115" s="12"/>
      <c r="P115" s="12"/>
      <c r="Q115" s="12"/>
      <c r="R115" s="12"/>
      <c r="S115" s="12"/>
      <c r="T115" s="12"/>
      <c r="U115" s="12"/>
      <c r="V115" s="321"/>
      <c r="W115" s="321"/>
      <c r="X115" s="321"/>
      <c r="Y115" s="321"/>
      <c r="Z115" s="321"/>
      <c r="AA115" s="321"/>
      <c r="AB115" s="321"/>
      <c r="AC115" s="321"/>
      <c r="AD115" s="321"/>
      <c r="AE115" s="321"/>
      <c r="AF115" s="321"/>
      <c r="AG115" s="321"/>
      <c r="AH115" s="321"/>
      <c r="AI115" s="321"/>
      <c r="AJ115" s="321"/>
      <c r="AK115" s="321"/>
      <c r="AL115" s="321"/>
      <c r="AM115" s="321"/>
      <c r="AN115" s="321"/>
      <c r="AO115" s="321"/>
    </row>
    <row r="116" spans="1:41">
      <c r="A116" s="27"/>
      <c r="B116" s="297">
        <f>N16</f>
        <v>0</v>
      </c>
      <c r="C116" s="295">
        <f>IF(B119=0,IF(C121=1,MAX(E116:E121),IF(C121=2,MAX(F116:F121),MAX(G116:G121))),IF(C121=1,MAX(I116:I121),IF(C121=2,MAX(J116:J121),MAX(K116:K121))))</f>
        <v>0</v>
      </c>
      <c r="D116" s="174">
        <v>0</v>
      </c>
      <c r="E116" s="233">
        <f>IF($B$116&lt;$D$117,0,0)</f>
        <v>0</v>
      </c>
      <c r="F116" s="233">
        <f>IF($B$116&lt;$D$117,$B$116-1000000,0)</f>
        <v>-1000000</v>
      </c>
      <c r="G116" s="234">
        <f>IF($B$116&lt;$D$117,$B$116-900000,0)</f>
        <v>-900000</v>
      </c>
      <c r="H116" s="175">
        <v>0</v>
      </c>
      <c r="I116" s="233">
        <f>IF($B$116&lt;$H$117,0,0)</f>
        <v>0</v>
      </c>
      <c r="J116" s="233">
        <f>IF($B$116&lt;$H$117,$B$116-1000000,0)</f>
        <v>-1000000</v>
      </c>
      <c r="K116" s="233">
        <f>IF($B$116&lt;$H$117,$B$116-900000,0)</f>
        <v>-900000</v>
      </c>
      <c r="L116" s="27"/>
      <c r="M116" s="27"/>
      <c r="N116" s="12"/>
      <c r="O116" s="12"/>
      <c r="P116" s="12"/>
      <c r="Q116" s="12"/>
      <c r="R116" s="12"/>
      <c r="S116" s="12"/>
      <c r="T116" s="12"/>
      <c r="U116" s="12"/>
      <c r="V116" s="321"/>
      <c r="W116" s="321"/>
      <c r="X116" s="321"/>
      <c r="Y116" s="321"/>
      <c r="Z116" s="321"/>
      <c r="AA116" s="321"/>
      <c r="AB116" s="321"/>
      <c r="AC116" s="321"/>
      <c r="AD116" s="321"/>
      <c r="AE116" s="321"/>
      <c r="AF116" s="321"/>
      <c r="AG116" s="321"/>
      <c r="AH116" s="321"/>
      <c r="AI116" s="321"/>
      <c r="AJ116" s="321"/>
      <c r="AK116" s="321"/>
      <c r="AL116" s="321"/>
      <c r="AM116" s="321"/>
      <c r="AN116" s="321"/>
      <c r="AO116" s="321"/>
    </row>
    <row r="117" spans="1:41">
      <c r="A117" s="27"/>
      <c r="B117" s="296" t="s">
        <v>134</v>
      </c>
      <c r="C117" s="27">
        <f>IF(R58=1,0,IF(OR(AND(B119=1,B116&gt;1250000),AND(B119=0,B116&gt;600000)),1,0))</f>
        <v>0</v>
      </c>
      <c r="D117" s="176">
        <v>600001</v>
      </c>
      <c r="E117" s="176">
        <f>IF(AND($B$116&gt;=$D$117,$B$116&lt;$D$118),$B$116-600000,0)</f>
        <v>0</v>
      </c>
      <c r="F117" s="176">
        <f>IF(AND($B$116&gt;=$D$117,$B$116&lt;$D$118),$B$116-500000,0)</f>
        <v>0</v>
      </c>
      <c r="G117" s="235">
        <f>IF(AND($B$116&gt;=$D$117,$B$116&lt;$D$118),$B$116-400000,0)</f>
        <v>0</v>
      </c>
      <c r="H117" s="73">
        <v>1100001</v>
      </c>
      <c r="I117" s="176">
        <f>IF(AND($B$116&gt;=$H$117,$B$116&lt;$H$118),$B$116-1100000,0)</f>
        <v>0</v>
      </c>
      <c r="J117" s="176">
        <f>IF(AND($B$116&gt;=$H$117,$B$116&lt;$H$118),$B$116-1000000,0)</f>
        <v>0</v>
      </c>
      <c r="K117" s="176">
        <f>IF(AND($B$116&gt;=$H$117,$B$116&lt;$H$118),$B$116-900000,0)</f>
        <v>0</v>
      </c>
      <c r="L117" s="27"/>
      <c r="M117" s="27"/>
      <c r="N117" s="12"/>
      <c r="O117" s="12"/>
      <c r="P117" s="12"/>
      <c r="Q117" s="12"/>
      <c r="R117" s="12"/>
      <c r="S117" s="12"/>
      <c r="T117" s="12"/>
      <c r="U117" s="12"/>
      <c r="V117" s="321"/>
      <c r="W117" s="321"/>
      <c r="X117" s="321"/>
      <c r="Y117" s="321"/>
      <c r="Z117" s="321"/>
      <c r="AA117" s="321"/>
      <c r="AB117" s="321"/>
      <c r="AC117" s="321"/>
      <c r="AD117" s="321"/>
      <c r="AE117" s="321"/>
      <c r="AF117" s="321"/>
      <c r="AG117" s="321"/>
      <c r="AH117" s="321"/>
      <c r="AI117" s="321"/>
      <c r="AJ117" s="321"/>
      <c r="AK117" s="321"/>
      <c r="AL117" s="321"/>
      <c r="AM117" s="321"/>
      <c r="AN117" s="321"/>
      <c r="AO117" s="321"/>
    </row>
    <row r="118" spans="1:41" ht="19.5" thickBot="1">
      <c r="A118" s="27"/>
      <c r="B118" s="239" t="s">
        <v>195</v>
      </c>
      <c r="C118" s="243" t="s">
        <v>194</v>
      </c>
      <c r="D118" s="176">
        <v>1300000</v>
      </c>
      <c r="E118" s="176">
        <f>IF(AND($B$116&gt;=$D$118,$B$116&lt;$D$119),ROUNDDOWN($B$116*0.75,0)-275000,0)</f>
        <v>0</v>
      </c>
      <c r="F118" s="176">
        <f>IF(AND($B$116&gt;=$D$118,$B$116&lt;$D$119),ROUNDDOWN($B$116*0.75,0)-175000,0)</f>
        <v>0</v>
      </c>
      <c r="G118" s="235">
        <f>IF(AND($B$116&gt;=$D$118,$B$116&lt;$D$119),ROUNDDOWN($B$116*0.75,0)-75000,0)</f>
        <v>0</v>
      </c>
      <c r="H118" s="73">
        <v>3300000</v>
      </c>
      <c r="I118" s="176">
        <f>IF(AND($B$116&gt;=$H$118,$B$116&lt;$H$119),ROUNDDOWN($B$116*0.75,0)-275000,0)</f>
        <v>0</v>
      </c>
      <c r="J118" s="176">
        <f>IF(AND($B$116&gt;=$H$118,$B$116&lt;$H$119),ROUNDDOWN($B$116*0.75,0)-175000,0)</f>
        <v>0</v>
      </c>
      <c r="K118" s="176">
        <f>IF(AND($B$116&gt;=$H$118,$B$116&lt;$H$119),ROUNDDOWN($B$116*0.75,0)-75000,0)</f>
        <v>0</v>
      </c>
      <c r="L118" s="27"/>
      <c r="M118" s="27"/>
      <c r="N118" s="12"/>
      <c r="O118" s="12"/>
      <c r="P118" s="12"/>
      <c r="Q118" s="12"/>
      <c r="R118" s="12"/>
      <c r="S118" s="12"/>
      <c r="T118" s="12"/>
      <c r="U118" s="12"/>
      <c r="V118" s="321"/>
      <c r="W118" s="321"/>
      <c r="X118" s="321"/>
      <c r="Y118" s="321"/>
      <c r="Z118" s="321"/>
      <c r="AA118" s="321"/>
      <c r="AB118" s="321"/>
      <c r="AC118" s="321"/>
      <c r="AD118" s="321"/>
      <c r="AE118" s="321"/>
      <c r="AF118" s="321"/>
      <c r="AG118" s="321"/>
      <c r="AH118" s="321"/>
      <c r="AI118" s="321"/>
      <c r="AJ118" s="321"/>
      <c r="AK118" s="321"/>
      <c r="AL118" s="321"/>
      <c r="AM118" s="321"/>
      <c r="AN118" s="321"/>
      <c r="AO118" s="321"/>
    </row>
    <row r="119" spans="1:41" ht="13.5" thickBot="1">
      <c r="A119" s="27"/>
      <c r="B119" s="299">
        <f>IF(C119="自動",IF($B$68="生年月日",IF(R25&gt;64,1,0),IF(OR(B16=1,B16&gt;3),1,0)),IF(C119="65歳以上",1,0))</f>
        <v>1</v>
      </c>
      <c r="C119" s="320" t="s">
        <v>219</v>
      </c>
      <c r="D119" s="176">
        <v>4100000</v>
      </c>
      <c r="E119" s="176">
        <f>IF(AND($B$116&gt;=$D$119,$B$116&lt;$D$120),ROUNDDOWN($B$116*0.85,0)-685000,0)</f>
        <v>0</v>
      </c>
      <c r="F119" s="176">
        <f>IF(AND($B$116&gt;=$D$119,$B$116&lt;$D$120),ROUNDDOWN($B$116*0.85,0)-585000,0)</f>
        <v>0</v>
      </c>
      <c r="G119" s="235">
        <f>IF(AND($B$116&gt;=$D$119,$B$116&lt;$D$120),ROUNDDOWN($B$116*0.85,0)-485000,0)</f>
        <v>0</v>
      </c>
      <c r="H119" s="73">
        <v>4100000</v>
      </c>
      <c r="I119" s="176">
        <f>IF(AND($B$116&gt;=$H$119,$B$116&lt;$H$120),ROUNDDOWN($B$116*0.85,0)-685000,0)</f>
        <v>0</v>
      </c>
      <c r="J119" s="176">
        <f>IF(AND($B$116&gt;=$H$119,$B$116&lt;$H$120),ROUNDDOWN($B$116*0.85,0)-585000,0)</f>
        <v>0</v>
      </c>
      <c r="K119" s="176">
        <f>IF(AND($B$116&gt;=$H$119,$B$116&lt;$H$120),ROUNDDOWN($B$116*0.85,0)-485000,0)</f>
        <v>0</v>
      </c>
      <c r="L119" s="27"/>
      <c r="M119" s="27"/>
      <c r="N119" s="12"/>
      <c r="O119" s="12"/>
      <c r="P119" s="12"/>
      <c r="Q119" s="12"/>
      <c r="R119" s="12"/>
      <c r="S119" s="12"/>
      <c r="T119" s="12"/>
      <c r="U119" s="12"/>
      <c r="V119" s="321"/>
      <c r="W119" s="321"/>
      <c r="X119" s="321"/>
      <c r="Y119" s="321"/>
      <c r="Z119" s="321"/>
      <c r="AA119" s="321"/>
      <c r="AB119" s="321"/>
      <c r="AC119" s="321"/>
      <c r="AD119" s="321"/>
      <c r="AE119" s="321"/>
      <c r="AF119" s="321"/>
      <c r="AG119" s="321"/>
      <c r="AH119" s="321"/>
      <c r="AI119" s="321"/>
      <c r="AJ119" s="321"/>
      <c r="AK119" s="321"/>
      <c r="AL119" s="321"/>
      <c r="AM119" s="321"/>
      <c r="AN119" s="321"/>
      <c r="AO119" s="321"/>
    </row>
    <row r="120" spans="1:41" ht="22">
      <c r="A120" s="27"/>
      <c r="B120" s="341" t="s">
        <v>210</v>
      </c>
      <c r="C120" s="300" t="s">
        <v>127</v>
      </c>
      <c r="D120" s="176">
        <v>7700000</v>
      </c>
      <c r="E120" s="176">
        <f>IF(AND($B$116&gt;=$D$120,$B$116&lt;$D$121),ROUNDDOWN($B$116*0.95,0)-1455000,0)</f>
        <v>0</v>
      </c>
      <c r="F120" s="176">
        <f>IF(AND($B$116&gt;=$D$120,$B$116&lt;$D$121),ROUNDDOWN($B$116*0.95,0)-1355000,0)</f>
        <v>0</v>
      </c>
      <c r="G120" s="235">
        <f>IF(AND($B$116&gt;=$D$120,$B$116&lt;$D$121),ROUNDDOWN($B$116*0.95,0)-1255000,0)</f>
        <v>0</v>
      </c>
      <c r="H120" s="73">
        <v>7700000</v>
      </c>
      <c r="I120" s="176">
        <f>IF(AND($B$116&gt;=$H$120,$B$116&lt;$H$121),ROUNDDOWN($B$116*0.95,0)-1455000,0)</f>
        <v>0</v>
      </c>
      <c r="J120" s="176">
        <f>IF(AND($B$116&gt;=$H$120,$B$116&lt;$H$121),ROUNDDOWN($B$116*0.95,0)-1355000,0)</f>
        <v>0</v>
      </c>
      <c r="K120" s="176">
        <f>IF(AND($B$116&gt;=$H$120,$B$116&lt;$H$121),ROUNDDOWN($B$116*0.95,0)-1255000,0)</f>
        <v>0</v>
      </c>
      <c r="L120" s="27"/>
      <c r="M120" s="27"/>
      <c r="N120" s="12"/>
      <c r="O120" s="12"/>
      <c r="P120" s="12"/>
      <c r="Q120" s="12"/>
      <c r="R120" s="12"/>
      <c r="S120" s="12"/>
      <c r="T120" s="12"/>
      <c r="U120" s="12"/>
      <c r="V120" s="321"/>
      <c r="W120" s="321"/>
      <c r="X120" s="321"/>
      <c r="Y120" s="321"/>
      <c r="Z120" s="321"/>
      <c r="AA120" s="321"/>
      <c r="AB120" s="321"/>
      <c r="AC120" s="321"/>
      <c r="AD120" s="321"/>
      <c r="AE120" s="321"/>
      <c r="AF120" s="321"/>
      <c r="AG120" s="321"/>
      <c r="AH120" s="321"/>
      <c r="AI120" s="321"/>
      <c r="AJ120" s="321"/>
      <c r="AK120" s="321"/>
      <c r="AL120" s="321"/>
      <c r="AM120" s="321"/>
      <c r="AN120" s="321"/>
      <c r="AO120" s="321"/>
    </row>
    <row r="121" spans="1:41">
      <c r="A121" s="27"/>
      <c r="B121" s="349">
        <f>IF(B119=1,IF(C116-150000&lt;0,0,C116-150000),C116)</f>
        <v>0</v>
      </c>
      <c r="C121" s="28">
        <f>IF(Q16&lt;=10000000,1,IF(Q16&lt;=20000000,2,3))</f>
        <v>1</v>
      </c>
      <c r="D121" s="77">
        <v>10000001</v>
      </c>
      <c r="E121" s="77">
        <f>IF($B$116&gt;=$D$121,$B$116-1955000,0)</f>
        <v>0</v>
      </c>
      <c r="F121" s="77">
        <f>IF($B$116&gt;=$D$121,$B$116-1855000,0)</f>
        <v>0</v>
      </c>
      <c r="G121" s="236">
        <f>IF($B$116&gt;=$D$121,$B$116-1755000,0)</f>
        <v>0</v>
      </c>
      <c r="H121" s="74">
        <v>10000001</v>
      </c>
      <c r="I121" s="77">
        <f>IF($B$116&gt;=$H$121,$B$116-1955000,0)</f>
        <v>0</v>
      </c>
      <c r="J121" s="77">
        <f>IF($B$116&gt;=$H$121,$B$116-1855000,0)</f>
        <v>0</v>
      </c>
      <c r="K121" s="77">
        <f>IF($B$116&gt;=$H$121,$B$116-1755000,0)</f>
        <v>0</v>
      </c>
      <c r="L121" s="27"/>
      <c r="M121" s="27"/>
      <c r="N121" s="12"/>
      <c r="O121" s="12"/>
      <c r="P121" s="12"/>
      <c r="Q121" s="12"/>
      <c r="R121" s="12"/>
      <c r="S121" s="12"/>
      <c r="T121" s="12"/>
      <c r="U121" s="12"/>
      <c r="V121" s="321"/>
      <c r="W121" s="321"/>
      <c r="X121" s="321"/>
      <c r="Y121" s="321"/>
      <c r="Z121" s="321"/>
      <c r="AA121" s="321"/>
      <c r="AB121" s="321"/>
      <c r="AC121" s="321"/>
      <c r="AD121" s="321"/>
      <c r="AE121" s="321"/>
      <c r="AF121" s="321"/>
      <c r="AG121" s="321"/>
      <c r="AH121" s="321"/>
      <c r="AI121" s="321"/>
      <c r="AJ121" s="321"/>
      <c r="AK121" s="321"/>
      <c r="AL121" s="321"/>
      <c r="AM121" s="321"/>
      <c r="AN121" s="321"/>
      <c r="AO121" s="321"/>
    </row>
    <row r="122" spans="1:41">
      <c r="A122" s="26"/>
      <c r="B122" s="26"/>
      <c r="C122" s="26"/>
      <c r="D122" s="26"/>
      <c r="E122" s="26"/>
      <c r="F122" s="26"/>
      <c r="G122" s="26"/>
      <c r="H122" s="26"/>
      <c r="I122" s="26"/>
      <c r="J122" s="26"/>
      <c r="K122" s="26"/>
      <c r="L122" s="26"/>
      <c r="M122" s="26"/>
      <c r="V122" s="321"/>
      <c r="W122" s="321"/>
      <c r="X122" s="321"/>
      <c r="Y122" s="321"/>
      <c r="Z122" s="321"/>
      <c r="AA122" s="321"/>
      <c r="AB122" s="321"/>
      <c r="AC122" s="321"/>
      <c r="AD122" s="321"/>
      <c r="AE122" s="321"/>
      <c r="AF122" s="321"/>
      <c r="AG122" s="321"/>
      <c r="AH122" s="321"/>
      <c r="AI122" s="321"/>
      <c r="AJ122" s="321"/>
      <c r="AK122" s="321"/>
      <c r="AL122" s="321"/>
      <c r="AM122" s="321"/>
      <c r="AN122" s="321"/>
      <c r="AO122" s="321"/>
    </row>
    <row r="123" spans="1:41">
      <c r="A123" s="26"/>
      <c r="B123" s="26"/>
      <c r="C123" s="26"/>
      <c r="D123" s="26"/>
      <c r="E123" s="26"/>
      <c r="F123" s="26"/>
      <c r="G123" s="26"/>
      <c r="H123" s="26"/>
      <c r="I123" s="26"/>
      <c r="J123" s="26"/>
      <c r="K123" s="26"/>
      <c r="L123" s="26"/>
      <c r="M123" s="26"/>
      <c r="V123" s="321"/>
      <c r="W123" s="321"/>
      <c r="X123" s="321"/>
      <c r="Y123" s="321"/>
      <c r="Z123" s="321"/>
      <c r="AA123" s="321"/>
      <c r="AB123" s="321"/>
      <c r="AC123" s="321"/>
      <c r="AD123" s="321"/>
      <c r="AE123" s="321"/>
      <c r="AF123" s="321"/>
      <c r="AG123" s="321"/>
      <c r="AH123" s="321"/>
      <c r="AI123" s="321"/>
      <c r="AJ123" s="321"/>
      <c r="AK123" s="321"/>
      <c r="AL123" s="321"/>
      <c r="AM123" s="321"/>
      <c r="AN123" s="321"/>
      <c r="AO123" s="321"/>
    </row>
    <row r="124" spans="1:41">
      <c r="A124" s="26"/>
      <c r="B124" s="26"/>
      <c r="C124" s="26"/>
      <c r="D124" s="26"/>
      <c r="E124" s="26"/>
      <c r="F124" s="26"/>
      <c r="G124" s="26"/>
      <c r="H124" s="26"/>
      <c r="I124" s="26"/>
      <c r="J124" s="26"/>
      <c r="K124" s="26"/>
      <c r="L124" s="26"/>
      <c r="M124" s="26"/>
      <c r="V124" s="321"/>
      <c r="W124" s="321"/>
      <c r="X124" s="321"/>
      <c r="Y124" s="321"/>
      <c r="Z124" s="321"/>
      <c r="AA124" s="321"/>
      <c r="AB124" s="321"/>
      <c r="AC124" s="321"/>
      <c r="AD124" s="321"/>
      <c r="AE124" s="321"/>
      <c r="AF124" s="321"/>
      <c r="AG124" s="321"/>
      <c r="AH124" s="321"/>
      <c r="AI124" s="321"/>
      <c r="AJ124" s="321"/>
      <c r="AK124" s="321"/>
      <c r="AL124" s="321"/>
      <c r="AM124" s="321"/>
      <c r="AN124" s="321"/>
      <c r="AO124" s="321"/>
    </row>
    <row r="125" spans="1:41">
      <c r="A125" s="26"/>
      <c r="B125" s="26"/>
      <c r="C125" s="26"/>
      <c r="D125" s="26"/>
      <c r="E125" s="26"/>
      <c r="F125" s="26"/>
      <c r="G125" s="26"/>
      <c r="H125" s="26"/>
      <c r="I125" s="26"/>
      <c r="J125" s="26"/>
      <c r="K125" s="26"/>
      <c r="L125" s="26"/>
      <c r="M125" s="26"/>
      <c r="V125" s="321"/>
      <c r="W125" s="321"/>
      <c r="X125" s="321"/>
      <c r="Y125" s="321"/>
      <c r="Z125" s="321"/>
      <c r="AA125" s="321"/>
      <c r="AB125" s="321"/>
      <c r="AC125" s="321"/>
      <c r="AD125" s="321"/>
      <c r="AE125" s="321"/>
      <c r="AF125" s="321"/>
      <c r="AG125" s="321"/>
      <c r="AH125" s="321"/>
      <c r="AI125" s="321"/>
      <c r="AJ125" s="321"/>
      <c r="AK125" s="321"/>
      <c r="AL125" s="321"/>
      <c r="AM125" s="321"/>
      <c r="AN125" s="321"/>
      <c r="AO125" s="321"/>
    </row>
    <row r="126" spans="1:41">
      <c r="A126" s="26"/>
      <c r="B126" s="26"/>
      <c r="C126" s="26"/>
      <c r="D126" s="26"/>
      <c r="E126" s="26"/>
      <c r="F126" s="26"/>
      <c r="G126" s="26"/>
      <c r="H126" s="26"/>
      <c r="I126" s="26"/>
      <c r="J126" s="26"/>
      <c r="K126" s="26"/>
      <c r="L126" s="26"/>
      <c r="M126" s="26"/>
      <c r="V126" s="321"/>
      <c r="W126" s="321"/>
      <c r="X126" s="321"/>
      <c r="Y126" s="321"/>
      <c r="Z126" s="321"/>
      <c r="AA126" s="321"/>
      <c r="AB126" s="321"/>
      <c r="AC126" s="321"/>
      <c r="AD126" s="321"/>
      <c r="AE126" s="321"/>
      <c r="AF126" s="321"/>
      <c r="AG126" s="321"/>
      <c r="AH126" s="321"/>
      <c r="AI126" s="321"/>
      <c r="AJ126" s="321"/>
      <c r="AK126" s="321"/>
      <c r="AL126" s="321"/>
      <c r="AM126" s="321"/>
      <c r="AN126" s="321"/>
      <c r="AO126" s="321"/>
    </row>
    <row r="127" spans="1:41">
      <c r="A127" s="26"/>
      <c r="B127" s="26"/>
      <c r="C127" s="26"/>
      <c r="D127" s="26"/>
      <c r="E127" s="26"/>
      <c r="F127" s="26"/>
      <c r="G127" s="26"/>
      <c r="H127" s="26"/>
      <c r="I127" s="26"/>
      <c r="J127" s="26"/>
      <c r="K127" s="26"/>
      <c r="L127" s="26"/>
      <c r="M127" s="26"/>
      <c r="V127" s="321"/>
      <c r="W127" s="321"/>
      <c r="X127" s="321"/>
      <c r="Y127" s="321"/>
      <c r="Z127" s="321"/>
      <c r="AA127" s="321"/>
      <c r="AB127" s="321"/>
      <c r="AC127" s="321"/>
      <c r="AD127" s="321"/>
      <c r="AE127" s="321"/>
      <c r="AF127" s="321"/>
      <c r="AG127" s="321"/>
      <c r="AH127" s="321"/>
      <c r="AI127" s="321"/>
      <c r="AJ127" s="321"/>
      <c r="AK127" s="321"/>
      <c r="AL127" s="321"/>
      <c r="AM127" s="321"/>
      <c r="AN127" s="321"/>
      <c r="AO127" s="321"/>
    </row>
  </sheetData>
  <sheetProtection algorithmName="SHA-512" hashValue="UBid0u8qIYCs8dDtWM6JxXYVGmovXbw3ehHiGI5bhQREeV/1kwI/NFClyHZgNl1erWcA/6qAgw3IVnQPtn2ukw==" saltValue="V7R6gPGODgTl4yhReRl0vw==" spinCount="100000" sheet="1" objects="1" scenarios="1" selectLockedCells="1"/>
  <mergeCells count="18">
    <mergeCell ref="G33:H33"/>
    <mergeCell ref="N65:O65"/>
    <mergeCell ref="M38:Q38"/>
    <mergeCell ref="M39:Q39"/>
    <mergeCell ref="M37:Q37"/>
    <mergeCell ref="M36:Q36"/>
    <mergeCell ref="D114:G114"/>
    <mergeCell ref="H114:K114"/>
    <mergeCell ref="H105:K105"/>
    <mergeCell ref="H96:K96"/>
    <mergeCell ref="D96:G96"/>
    <mergeCell ref="D105:G105"/>
    <mergeCell ref="D69:G69"/>
    <mergeCell ref="H69:K69"/>
    <mergeCell ref="H78:K78"/>
    <mergeCell ref="D78:G78"/>
    <mergeCell ref="D87:G87"/>
    <mergeCell ref="H87:K87"/>
  </mergeCells>
  <phoneticPr fontId="28"/>
  <dataValidations count="9">
    <dataValidation type="list" allowBlank="1" showInputMessage="1" showErrorMessage="1" sqref="C22" xr:uid="{00000000-0002-0000-0200-000000000000}">
      <formula1>"自動,7割軽減,5割軽減,2割軽減,非該当"</formula1>
    </dataValidation>
    <dataValidation type="list" allowBlank="1" showInputMessage="1" showErrorMessage="1" sqref="C11:C16" xr:uid="{00000000-0002-0000-0200-000001000000}">
      <formula1>"FALSE,TRUE"</formula1>
    </dataValidation>
    <dataValidation type="list" allowBlank="1" showInputMessage="1" showErrorMessage="1" sqref="F33" xr:uid="{00000000-0002-0000-0200-000002000000}">
      <formula1>"1,0.5,0.75"</formula1>
    </dataValidation>
    <dataValidation type="list" allowBlank="1" showInputMessage="1" showErrorMessage="1" sqref="K33" xr:uid="{00000000-0002-0000-0200-000003000000}">
      <formula1>"あり,なし"</formula1>
    </dataValidation>
    <dataValidation type="whole" imeMode="off" operator="greaterThanOrEqual" allowBlank="1" showInputMessage="1" showErrorMessage="1" errorTitle="エラー" error="数字のみを入力してください！_x000a_例）1人→1" sqref="J33" xr:uid="{00000000-0002-0000-0200-000004000000}">
      <formula1>0</formula1>
    </dataValidation>
    <dataValidation type="whole" imeMode="off" operator="greaterThanOrEqual" allowBlank="1" showInputMessage="1" showErrorMessage="1" errorTitle="エラー" error="数字のみを入力してください！_x000a_例）1人→1" sqref="F27:F28 G27" xr:uid="{00000000-0002-0000-0200-000005000000}">
      <formula1>-99</formula1>
    </dataValidation>
    <dataValidation imeMode="off" allowBlank="1" showInputMessage="1" showErrorMessage="1" sqref="AB3:AL4 B44" xr:uid="{00000000-0002-0000-0200-000006000000}"/>
    <dataValidation type="list" allowBlank="1" showInputMessage="1" showErrorMessage="1" sqref="B68" xr:uid="{00000000-0002-0000-0200-000007000000}">
      <formula1>"生年月日,年齢区分"</formula1>
    </dataValidation>
    <dataValidation type="list" allowBlank="1" showInputMessage="1" showErrorMessage="1" sqref="C74 C83 C92 C101 C110 C119" xr:uid="{00000000-0002-0000-0200-000008000000}">
      <formula1>"自動,65歳以上,65歳未満"</formula1>
    </dataValidation>
  </dataValidations>
  <pageMargins left="0.27559055118110237" right="0.19685039370078741" top="0.74803149606299213" bottom="0.74803149606299213" header="0.31496062992125984" footer="0.31496062992125984"/>
  <pageSetup paperSize="9" scale="67" fitToHeight="0" orientation="landscape" r:id="rId1"/>
  <headerFooter>
    <oddHeader>&amp;C&amp;F&amp;A（各種設定等）</oddHeader>
  </headerFooter>
  <rowBreaks count="2" manualBreakCount="2">
    <brk id="50" max="16383" man="1"/>
    <brk id="103" max="20" man="1"/>
  </rowBreak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locked="0" defaultSize="0" autoFill="0" autoLine="0" autoPict="0" altText="">
                <anchor moveWithCells="1">
                  <from>
                    <xdr:col>10</xdr:col>
                    <xdr:colOff>260350</xdr:colOff>
                    <xdr:row>10</xdr:row>
                    <xdr:rowOff>12700</xdr:rowOff>
                  </from>
                  <to>
                    <xdr:col>10</xdr:col>
                    <xdr:colOff>457200</xdr:colOff>
                    <xdr:row>11</xdr:row>
                    <xdr:rowOff>12700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10</xdr:col>
                    <xdr:colOff>260350</xdr:colOff>
                    <xdr:row>11</xdr:row>
                    <xdr:rowOff>0</xdr:rowOff>
                  </from>
                  <to>
                    <xdr:col>10</xdr:col>
                    <xdr:colOff>546100</xdr:colOff>
                    <xdr:row>12</xdr:row>
                    <xdr:rowOff>12700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10</xdr:col>
                    <xdr:colOff>260350</xdr:colOff>
                    <xdr:row>11</xdr:row>
                    <xdr:rowOff>165100</xdr:rowOff>
                  </from>
                  <to>
                    <xdr:col>10</xdr:col>
                    <xdr:colOff>546100</xdr:colOff>
                    <xdr:row>13</xdr:row>
                    <xdr:rowOff>12700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10</xdr:col>
                    <xdr:colOff>260350</xdr:colOff>
                    <xdr:row>13</xdr:row>
                    <xdr:rowOff>0</xdr:rowOff>
                  </from>
                  <to>
                    <xdr:col>10</xdr:col>
                    <xdr:colOff>546100</xdr:colOff>
                    <xdr:row>14</xdr:row>
                    <xdr:rowOff>12700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10</xdr:col>
                    <xdr:colOff>260350</xdr:colOff>
                    <xdr:row>13</xdr:row>
                    <xdr:rowOff>165100</xdr:rowOff>
                  </from>
                  <to>
                    <xdr:col>10</xdr:col>
                    <xdr:colOff>546100</xdr:colOff>
                    <xdr:row>15</xdr:row>
                    <xdr:rowOff>12700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10</xdr:col>
                    <xdr:colOff>260350</xdr:colOff>
                    <xdr:row>15</xdr:row>
                    <xdr:rowOff>0</xdr:rowOff>
                  </from>
                  <to>
                    <xdr:col>10</xdr:col>
                    <xdr:colOff>546100</xdr:colOff>
                    <xdr:row>16</xdr:row>
                    <xdr:rowOff>12700</xdr:rowOff>
                  </to>
                </anchor>
              </controlPr>
            </control>
          </mc:Choice>
        </mc:AlternateContent>
        <mc:AlternateContent xmlns:mc="http://schemas.openxmlformats.org/markup-compatibility/2006">
          <mc:Choice Requires="x14">
            <control shapeId="4157" r:id="rId10" name="Check Box 61">
              <controlPr locked="0" defaultSize="0" autoFill="0" autoLine="0" autoPict="0" altText="">
                <anchor moveWithCells="1">
                  <from>
                    <xdr:col>4</xdr:col>
                    <xdr:colOff>438150</xdr:colOff>
                    <xdr:row>52</xdr:row>
                    <xdr:rowOff>12700</xdr:rowOff>
                  </from>
                  <to>
                    <xdr:col>4</xdr:col>
                    <xdr:colOff>641350</xdr:colOff>
                    <xdr:row>53</xdr:row>
                    <xdr:rowOff>12700</xdr:rowOff>
                  </to>
                </anchor>
              </controlPr>
            </control>
          </mc:Choice>
        </mc:AlternateContent>
        <mc:AlternateContent xmlns:mc="http://schemas.openxmlformats.org/markup-compatibility/2006">
          <mc:Choice Requires="x14">
            <control shapeId="4158" r:id="rId11" name="Check Box 62">
              <controlPr locked="0" defaultSize="0" autoFill="0" autoLine="0" autoPict="0" altText="">
                <anchor moveWithCells="1">
                  <from>
                    <xdr:col>4</xdr:col>
                    <xdr:colOff>438150</xdr:colOff>
                    <xdr:row>53</xdr:row>
                    <xdr:rowOff>12700</xdr:rowOff>
                  </from>
                  <to>
                    <xdr:col>4</xdr:col>
                    <xdr:colOff>641350</xdr:colOff>
                    <xdr:row>54</xdr:row>
                    <xdr:rowOff>12700</xdr:rowOff>
                  </to>
                </anchor>
              </controlPr>
            </control>
          </mc:Choice>
        </mc:AlternateContent>
        <mc:AlternateContent xmlns:mc="http://schemas.openxmlformats.org/markup-compatibility/2006">
          <mc:Choice Requires="x14">
            <control shapeId="4159" r:id="rId12" name="Check Box 63">
              <controlPr locked="0" defaultSize="0" autoFill="0" autoLine="0" autoPict="0" altText="">
                <anchor moveWithCells="1">
                  <from>
                    <xdr:col>4</xdr:col>
                    <xdr:colOff>438150</xdr:colOff>
                    <xdr:row>54</xdr:row>
                    <xdr:rowOff>12700</xdr:rowOff>
                  </from>
                  <to>
                    <xdr:col>4</xdr:col>
                    <xdr:colOff>641350</xdr:colOff>
                    <xdr:row>55</xdr:row>
                    <xdr:rowOff>12700</xdr:rowOff>
                  </to>
                </anchor>
              </controlPr>
            </control>
          </mc:Choice>
        </mc:AlternateContent>
        <mc:AlternateContent xmlns:mc="http://schemas.openxmlformats.org/markup-compatibility/2006">
          <mc:Choice Requires="x14">
            <control shapeId="4160" r:id="rId13" name="Check Box 64">
              <controlPr locked="0" defaultSize="0" autoFill="0" autoLine="0" autoPict="0" altText="">
                <anchor moveWithCells="1">
                  <from>
                    <xdr:col>4</xdr:col>
                    <xdr:colOff>438150</xdr:colOff>
                    <xdr:row>55</xdr:row>
                    <xdr:rowOff>12700</xdr:rowOff>
                  </from>
                  <to>
                    <xdr:col>4</xdr:col>
                    <xdr:colOff>641350</xdr:colOff>
                    <xdr:row>56</xdr:row>
                    <xdr:rowOff>12700</xdr:rowOff>
                  </to>
                </anchor>
              </controlPr>
            </control>
          </mc:Choice>
        </mc:AlternateContent>
        <mc:AlternateContent xmlns:mc="http://schemas.openxmlformats.org/markup-compatibility/2006">
          <mc:Choice Requires="x14">
            <control shapeId="4161" r:id="rId14" name="Check Box 65">
              <controlPr locked="0" defaultSize="0" autoFill="0" autoLine="0" autoPict="0" altText="">
                <anchor moveWithCells="1">
                  <from>
                    <xdr:col>4</xdr:col>
                    <xdr:colOff>438150</xdr:colOff>
                    <xdr:row>56</xdr:row>
                    <xdr:rowOff>12700</xdr:rowOff>
                  </from>
                  <to>
                    <xdr:col>4</xdr:col>
                    <xdr:colOff>641350</xdr:colOff>
                    <xdr:row>57</xdr:row>
                    <xdr:rowOff>12700</xdr:rowOff>
                  </to>
                </anchor>
              </controlPr>
            </control>
          </mc:Choice>
        </mc:AlternateContent>
        <mc:AlternateContent xmlns:mc="http://schemas.openxmlformats.org/markup-compatibility/2006">
          <mc:Choice Requires="x14">
            <control shapeId="4162" r:id="rId15" name="Check Box 66">
              <controlPr locked="0" defaultSize="0" autoFill="0" autoLine="0" autoPict="0" altText="">
                <anchor moveWithCells="1">
                  <from>
                    <xdr:col>4</xdr:col>
                    <xdr:colOff>438150</xdr:colOff>
                    <xdr:row>57</xdr:row>
                    <xdr:rowOff>12700</xdr:rowOff>
                  </from>
                  <to>
                    <xdr:col>4</xdr:col>
                    <xdr:colOff>641350</xdr:colOff>
                    <xdr:row>58</xdr:row>
                    <xdr:rowOff>0</xdr:rowOff>
                  </to>
                </anchor>
              </controlPr>
            </control>
          </mc:Choice>
        </mc:AlternateContent>
        <mc:AlternateContent xmlns:mc="http://schemas.openxmlformats.org/markup-compatibility/2006">
          <mc:Choice Requires="x14">
            <control shapeId="4165" r:id="rId16" name="Check Box 69">
              <controlPr defaultSize="0" autoFill="0" autoLine="0" autoPict="0">
                <anchor moveWithCells="1">
                  <from>
                    <xdr:col>19</xdr:col>
                    <xdr:colOff>431800</xdr:colOff>
                    <xdr:row>12</xdr:row>
                    <xdr:rowOff>165100</xdr:rowOff>
                  </from>
                  <to>
                    <xdr:col>20</xdr:col>
                    <xdr:colOff>19050</xdr:colOff>
                    <xdr:row>14</xdr:row>
                    <xdr:rowOff>0</xdr:rowOff>
                  </to>
                </anchor>
              </controlPr>
            </control>
          </mc:Choice>
        </mc:AlternateContent>
        <mc:AlternateContent xmlns:mc="http://schemas.openxmlformats.org/markup-compatibility/2006">
          <mc:Choice Requires="x14">
            <control shapeId="4166" r:id="rId17" name="Check Box 70">
              <controlPr defaultSize="0" autoFill="0" autoLine="0" autoPict="0">
                <anchor moveWithCells="1">
                  <from>
                    <xdr:col>19</xdr:col>
                    <xdr:colOff>431800</xdr:colOff>
                    <xdr:row>13</xdr:row>
                    <xdr:rowOff>133350</xdr:rowOff>
                  </from>
                  <to>
                    <xdr:col>20</xdr:col>
                    <xdr:colOff>0</xdr:colOff>
                    <xdr:row>15</xdr:row>
                    <xdr:rowOff>38100</xdr:rowOff>
                  </to>
                </anchor>
              </controlPr>
            </control>
          </mc:Choice>
        </mc:AlternateContent>
        <mc:AlternateContent xmlns:mc="http://schemas.openxmlformats.org/markup-compatibility/2006">
          <mc:Choice Requires="x14">
            <control shapeId="4169" r:id="rId18" name="Check Box 73">
              <controlPr defaultSize="0" autoFill="0" autoLine="0" autoPict="0">
                <anchor moveWithCells="1">
                  <from>
                    <xdr:col>19</xdr:col>
                    <xdr:colOff>431800</xdr:colOff>
                    <xdr:row>10</xdr:row>
                    <xdr:rowOff>165100</xdr:rowOff>
                  </from>
                  <to>
                    <xdr:col>19</xdr:col>
                    <xdr:colOff>622300</xdr:colOff>
                    <xdr:row>12</xdr:row>
                    <xdr:rowOff>0</xdr:rowOff>
                  </to>
                </anchor>
              </controlPr>
            </control>
          </mc:Choice>
        </mc:AlternateContent>
        <mc:AlternateContent xmlns:mc="http://schemas.openxmlformats.org/markup-compatibility/2006">
          <mc:Choice Requires="x14">
            <control shapeId="4170" r:id="rId19" name="Check Box 74">
              <controlPr defaultSize="0" autoFill="0" autoLine="0" autoPict="0">
                <anchor moveWithCells="1">
                  <from>
                    <xdr:col>19</xdr:col>
                    <xdr:colOff>431800</xdr:colOff>
                    <xdr:row>11</xdr:row>
                    <xdr:rowOff>152400</xdr:rowOff>
                  </from>
                  <to>
                    <xdr:col>20</xdr:col>
                    <xdr:colOff>12700</xdr:colOff>
                    <xdr:row>13</xdr:row>
                    <xdr:rowOff>31750</xdr:rowOff>
                  </to>
                </anchor>
              </controlPr>
            </control>
          </mc:Choice>
        </mc:AlternateContent>
        <mc:AlternateContent xmlns:mc="http://schemas.openxmlformats.org/markup-compatibility/2006">
          <mc:Choice Requires="x14">
            <control shapeId="4171" r:id="rId20" name="Check Box 75">
              <controlPr defaultSize="0" autoFill="0" autoLine="0" autoPict="0">
                <anchor moveWithCells="1">
                  <from>
                    <xdr:col>19</xdr:col>
                    <xdr:colOff>431800</xdr:colOff>
                    <xdr:row>15</xdr:row>
                    <xdr:rowOff>0</xdr:rowOff>
                  </from>
                  <to>
                    <xdr:col>19</xdr:col>
                    <xdr:colOff>622300</xdr:colOff>
                    <xdr:row>16</xdr:row>
                    <xdr:rowOff>12700</xdr:rowOff>
                  </to>
                </anchor>
              </controlPr>
            </control>
          </mc:Choice>
        </mc:AlternateContent>
        <mc:AlternateContent xmlns:mc="http://schemas.openxmlformats.org/markup-compatibility/2006">
          <mc:Choice Requires="x14">
            <control shapeId="4172" r:id="rId21" name="Check Box 76">
              <controlPr locked="0" defaultSize="0" autoFill="0" autoLine="0" autoPict="0" altText="">
                <anchor moveWithCells="1">
                  <from>
                    <xdr:col>19</xdr:col>
                    <xdr:colOff>431800</xdr:colOff>
                    <xdr:row>10</xdr:row>
                    <xdr:rowOff>0</xdr:rowOff>
                  </from>
                  <to>
                    <xdr:col>20</xdr:col>
                    <xdr:colOff>0</xdr:colOff>
                    <xdr:row>11</xdr:row>
                    <xdr:rowOff>0</xdr:rowOff>
                  </to>
                </anchor>
              </controlPr>
            </control>
          </mc:Choice>
        </mc:AlternateContent>
        <mc:AlternateContent xmlns:mc="http://schemas.openxmlformats.org/markup-compatibility/2006">
          <mc:Choice Requires="x14">
            <control shapeId="4173" r:id="rId22" name="Button 77">
              <controlPr defaultSize="0" print="0" autoFill="0" autoPict="0" macro="[0]!uehe01">
                <anchor moveWithCells="1" sizeWithCells="1">
                  <from>
                    <xdr:col>26</xdr:col>
                    <xdr:colOff>171450</xdr:colOff>
                    <xdr:row>2</xdr:row>
                    <xdr:rowOff>88900</xdr:rowOff>
                  </from>
                  <to>
                    <xdr:col>26</xdr:col>
                    <xdr:colOff>412750</xdr:colOff>
                    <xdr:row>3</xdr:row>
                    <xdr:rowOff>114300</xdr:rowOff>
                  </to>
                </anchor>
              </controlPr>
            </control>
          </mc:Choice>
        </mc:AlternateContent>
        <mc:AlternateContent xmlns:mc="http://schemas.openxmlformats.org/markup-compatibility/2006">
          <mc:Choice Requires="x14">
            <control shapeId="4174" r:id="rId23" name="Button 78">
              <controlPr defaultSize="0" print="0" autoFill="0" autoPict="0" macro="[0]!kiwari01">
                <anchor>
                  <from>
                    <xdr:col>44</xdr:col>
                    <xdr:colOff>590550</xdr:colOff>
                    <xdr:row>1</xdr:row>
                    <xdr:rowOff>12700</xdr:rowOff>
                  </from>
                  <to>
                    <xdr:col>45</xdr:col>
                    <xdr:colOff>679450</xdr:colOff>
                    <xdr:row>2</xdr:row>
                    <xdr:rowOff>107950</xdr:rowOff>
                  </to>
                </anchor>
              </controlPr>
            </control>
          </mc:Choice>
        </mc:AlternateContent>
        <mc:AlternateContent xmlns:mc="http://schemas.openxmlformats.org/markup-compatibility/2006">
          <mc:Choice Requires="x14">
            <control shapeId="4175" r:id="rId24" name="Button 79">
              <controlPr defaultSize="0" print="0" autoFill="0" autoPict="0" macro="[0]!kiwari02">
                <anchor>
                  <from>
                    <xdr:col>44</xdr:col>
                    <xdr:colOff>590550</xdr:colOff>
                    <xdr:row>3</xdr:row>
                    <xdr:rowOff>19050</xdr:rowOff>
                  </from>
                  <to>
                    <xdr:col>45</xdr:col>
                    <xdr:colOff>679450</xdr:colOff>
                    <xdr:row>4</xdr:row>
                    <xdr:rowOff>114300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2</vt:i4>
      </vt:variant>
    </vt:vector>
  </HeadingPairs>
  <TitlesOfParts>
    <vt:vector baseType="lpstr" size="5">
      <vt:lpstr>使い方</vt:lpstr>
      <vt:lpstr>計算</vt:lpstr>
      <vt:lpstr>表</vt:lpstr>
      <vt:lpstr>計算!Print_Area</vt:lpstr>
      <vt:lpstr>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2025-05-12T06:30:17Z</cp:lastPrinted>
  <dcterms:created xsi:type="dcterms:W3CDTF">2018-01-23T00:46:06Z</dcterms:created>
  <dcterms:modified xsi:type="dcterms:W3CDTF">2025-05-12T06:30:19Z</dcterms:modified>
</cp:coreProperties>
</file>