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24226"/>
  <xr:revisionPtr xr6:coauthVersionLast="47" xr6:coauthVersionMax="47" documentId="13_ncr:1_{E0F9A667-279E-45BA-80B7-52534EA38EC4}" revIDLastSave="0" xr10:uidLastSave="{00000000-0000-0000-0000-000000000000}"/>
  <workbookProtection lockStructure="1" workbookAlgorithmName="SHA-512" workbookHashValue="qVs1Rn1GIcx6TNJAlFl4AK+REkqLqj0Wwp5D7ywmcljj3o36MvSOj2IH2bJgNTiFhE+HZoywOhNZHB+W8E7vyQ==" workbookSaltValue="JVywNW0Wp6Wiv5g33HS92A==" workbookSpinCount="100000"/>
  <bookViews>
    <workbookView xr2:uid="{00000000-000D-0000-FFFF-FFFF00000000}" windowHeight="12456" windowWidth="23256" xWindow="-23148" yWindow="744"/>
  </bookViews>
  <sheets>
    <sheet r:id="rId1" name="使い方" sheetId="9"/>
    <sheet r:id="rId2" name="計算" sheetId="3"/>
    <sheet r:id="rId3" name="表" sheetId="4" state="hidden"/>
  </sheets>
  <definedNames>
    <definedName localSheetId="1" name="_xlnm.Print_Area">計算!$A$1:$AC$47</definedName>
    <definedName localSheetId="2" name="_xlnm.Print_Area">表!$A$1:$U$121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9" i="4" l="1"/>
  <c r="B110" i="4"/>
  <c r="B101" i="4"/>
  <c r="B92" i="4"/>
  <c r="B83" i="4"/>
  <c r="E47" i="4" l="1"/>
  <c r="E44" i="4" s="1"/>
  <c r="R18" i="3" l="1"/>
  <c r="R14" i="3"/>
  <c r="V15" i="3" l="1"/>
  <c r="T15" i="3"/>
  <c r="V11" i="3"/>
  <c r="T11" i="3"/>
  <c r="B74" i="4" l="1"/>
  <c r="O5" i="4" l="1"/>
  <c r="AM4" i="4"/>
  <c r="AM3" i="4"/>
  <c r="R25" i="4" l="1"/>
  <c r="R21" i="4"/>
  <c r="R24" i="4"/>
  <c r="R20" i="4"/>
  <c r="R23" i="4"/>
  <c r="R22" i="4"/>
  <c r="L22" i="3"/>
  <c r="L20" i="3"/>
  <c r="L18" i="3"/>
  <c r="L16" i="3"/>
  <c r="L14" i="3"/>
  <c r="L12" i="3"/>
  <c r="AA2" i="4" l="1"/>
  <c r="O2" i="4" l="1"/>
  <c r="O3" i="4" s="1"/>
  <c r="O24" i="4" l="1"/>
  <c r="O25" i="4"/>
  <c r="O21" i="4"/>
  <c r="O20" i="4"/>
  <c r="O23" i="4"/>
  <c r="O22" i="4"/>
  <c r="C19" i="3" l="1"/>
  <c r="C23" i="3"/>
  <c r="P25" i="4"/>
  <c r="C21" i="3"/>
  <c r="P24" i="4"/>
  <c r="P23" i="4"/>
  <c r="C17" i="3"/>
  <c r="P22" i="4"/>
  <c r="P21" i="4"/>
  <c r="C15" i="3"/>
  <c r="C13" i="3"/>
  <c r="P20" i="4"/>
  <c r="D12" i="4" l="1"/>
  <c r="D13" i="4"/>
  <c r="D14" i="4"/>
  <c r="D15" i="4"/>
  <c r="D16" i="4"/>
  <c r="D11" i="4"/>
  <c r="D17" i="4" l="1"/>
  <c r="L32" i="4"/>
  <c r="G33" i="4" l="1"/>
  <c r="H29" i="4"/>
  <c r="L34" i="4"/>
  <c r="G34" i="4" l="1"/>
  <c r="K34" i="4" l="1"/>
  <c r="K37" i="4" l="1"/>
  <c r="K40" i="4" s="1"/>
  <c r="J37" i="4"/>
  <c r="J47" i="4" s="1"/>
  <c r="I37" i="4"/>
  <c r="E37" i="4"/>
  <c r="E40" i="4" s="1"/>
  <c r="D37" i="4"/>
  <c r="C37" i="4"/>
  <c r="B46" i="4" s="1"/>
  <c r="C40" i="4" l="1"/>
  <c r="B49" i="4" s="1"/>
  <c r="D40" i="4"/>
  <c r="C49" i="4" s="1"/>
  <c r="C46" i="4"/>
  <c r="J40" i="4"/>
  <c r="J44" i="4"/>
  <c r="I46" i="4"/>
  <c r="I42" i="4"/>
  <c r="J48" i="4"/>
  <c r="D38" i="4"/>
  <c r="C47" i="4" s="1"/>
  <c r="E38" i="4"/>
  <c r="I40" i="4"/>
  <c r="I44" i="4"/>
  <c r="I48" i="4"/>
  <c r="J41" i="4"/>
  <c r="J45" i="4"/>
  <c r="K38" i="4"/>
  <c r="I39" i="4"/>
  <c r="I43" i="4"/>
  <c r="I47" i="4"/>
  <c r="C38" i="4"/>
  <c r="B47" i="4" s="1"/>
  <c r="C39" i="4"/>
  <c r="B48" i="4" s="1"/>
  <c r="E39" i="4"/>
  <c r="K39" i="4"/>
  <c r="D39" i="4"/>
  <c r="C48" i="4" s="1"/>
  <c r="I41" i="4"/>
  <c r="I45" i="4"/>
  <c r="J38" i="4"/>
  <c r="J42" i="4"/>
  <c r="J46" i="4"/>
  <c r="I38" i="4"/>
  <c r="J39" i="4"/>
  <c r="J43" i="4"/>
  <c r="H28" i="4"/>
  <c r="I27" i="4"/>
  <c r="H27" i="4"/>
  <c r="C25" i="3" l="1"/>
  <c r="P16" i="4"/>
  <c r="J23" i="3" s="1"/>
  <c r="P15" i="4"/>
  <c r="J21" i="3" s="1"/>
  <c r="P14" i="4"/>
  <c r="J19" i="3" s="1"/>
  <c r="P13" i="4"/>
  <c r="J17" i="3" s="1"/>
  <c r="P12" i="4"/>
  <c r="J15" i="3" s="1"/>
  <c r="P11" i="4"/>
  <c r="N16" i="4"/>
  <c r="B116" i="4" s="1"/>
  <c r="N15" i="4"/>
  <c r="B107" i="4" s="1"/>
  <c r="N34" i="3"/>
  <c r="I34" i="3"/>
  <c r="F34" i="3"/>
  <c r="D34" i="3"/>
  <c r="N33" i="3"/>
  <c r="I33" i="3"/>
  <c r="F33" i="3"/>
  <c r="D33" i="3"/>
  <c r="N32" i="3"/>
  <c r="I32" i="3"/>
  <c r="F32" i="3"/>
  <c r="D32" i="3"/>
  <c r="N31" i="3"/>
  <c r="AB25" i="3"/>
  <c r="Z21" i="3"/>
  <c r="Z17" i="3"/>
  <c r="Z13" i="3"/>
  <c r="X9" i="3"/>
  <c r="N14" i="4"/>
  <c r="B98" i="4" s="1"/>
  <c r="N13" i="4"/>
  <c r="B89" i="4" s="1"/>
  <c r="N12" i="4"/>
  <c r="B80" i="4" s="1"/>
  <c r="N11" i="4"/>
  <c r="B71" i="4" s="1"/>
  <c r="L16" i="4"/>
  <c r="B58" i="4" s="1"/>
  <c r="L15" i="4"/>
  <c r="B57" i="4" s="1"/>
  <c r="L14" i="4"/>
  <c r="B56" i="4" s="1"/>
  <c r="L13" i="4"/>
  <c r="B55" i="4" s="1"/>
  <c r="L12" i="4"/>
  <c r="B54" i="4" s="1"/>
  <c r="L11" i="4"/>
  <c r="B53" i="4" s="1"/>
  <c r="R58" i="4" l="1"/>
  <c r="C117" i="4" s="1"/>
  <c r="R56" i="4"/>
  <c r="R57" i="4"/>
  <c r="C108" i="4" s="1"/>
  <c r="R55" i="4"/>
  <c r="C90" i="4" s="1"/>
  <c r="R54" i="4"/>
  <c r="C81" i="4" s="1"/>
  <c r="R53" i="4"/>
  <c r="C99" i="4"/>
  <c r="F54" i="4"/>
  <c r="F53" i="4"/>
  <c r="Q54" i="4"/>
  <c r="F58" i="4"/>
  <c r="P54" i="4"/>
  <c r="F57" i="4"/>
  <c r="O54" i="4"/>
  <c r="F56" i="4"/>
  <c r="N54" i="4"/>
  <c r="F55" i="4"/>
  <c r="J13" i="3"/>
  <c r="M54" i="4"/>
  <c r="L61" i="4"/>
  <c r="L57" i="4"/>
  <c r="L63" i="4"/>
  <c r="L62" i="4"/>
  <c r="L54" i="4"/>
  <c r="L53" i="4"/>
  <c r="J53" i="4" s="1"/>
  <c r="Q11" i="4" s="1"/>
  <c r="L60" i="4"/>
  <c r="L56" i="4"/>
  <c r="L59" i="4"/>
  <c r="L55" i="4"/>
  <c r="L58" i="4"/>
  <c r="P60" i="4"/>
  <c r="P56" i="4"/>
  <c r="P58" i="4"/>
  <c r="P57" i="4"/>
  <c r="P63" i="4"/>
  <c r="P59" i="4"/>
  <c r="P55" i="4"/>
  <c r="P62" i="4"/>
  <c r="P53" i="4"/>
  <c r="J57" i="4" s="1"/>
  <c r="P61" i="4"/>
  <c r="M62" i="4"/>
  <c r="M58" i="4"/>
  <c r="M53" i="4"/>
  <c r="M56" i="4"/>
  <c r="M59" i="4"/>
  <c r="M55" i="4"/>
  <c r="M61" i="4"/>
  <c r="M57" i="4"/>
  <c r="M60" i="4"/>
  <c r="M63" i="4"/>
  <c r="Q62" i="4"/>
  <c r="Q58" i="4"/>
  <c r="Q53" i="4"/>
  <c r="J58" i="4" s="1"/>
  <c r="Q56" i="4"/>
  <c r="Q61" i="4"/>
  <c r="Q57" i="4"/>
  <c r="Q60" i="4"/>
  <c r="Q63" i="4"/>
  <c r="Q59" i="4"/>
  <c r="Q55" i="4"/>
  <c r="N60" i="4"/>
  <c r="N56" i="4"/>
  <c r="N62" i="4"/>
  <c r="N53" i="4"/>
  <c r="J55" i="4" s="1"/>
  <c r="N61" i="4"/>
  <c r="N57" i="4"/>
  <c r="N63" i="4"/>
  <c r="N59" i="4"/>
  <c r="N55" i="4"/>
  <c r="N58" i="4"/>
  <c r="O62" i="4"/>
  <c r="O58" i="4"/>
  <c r="O53" i="4"/>
  <c r="J56" i="4" s="1"/>
  <c r="O60" i="4"/>
  <c r="O59" i="4"/>
  <c r="O61" i="4"/>
  <c r="O57" i="4"/>
  <c r="O56" i="4"/>
  <c r="O63" i="4"/>
  <c r="O55" i="4"/>
  <c r="J121" i="4"/>
  <c r="I120" i="4"/>
  <c r="K118" i="4"/>
  <c r="J117" i="4"/>
  <c r="I116" i="4"/>
  <c r="G120" i="4"/>
  <c r="F119" i="4"/>
  <c r="E118" i="4"/>
  <c r="G116" i="4"/>
  <c r="I121" i="4"/>
  <c r="K119" i="4"/>
  <c r="J118" i="4"/>
  <c r="I117" i="4"/>
  <c r="G121" i="4"/>
  <c r="F120" i="4"/>
  <c r="E119" i="4"/>
  <c r="G117" i="4"/>
  <c r="F116" i="4"/>
  <c r="K120" i="4"/>
  <c r="J119" i="4"/>
  <c r="I118" i="4"/>
  <c r="K116" i="4"/>
  <c r="F121" i="4"/>
  <c r="E120" i="4"/>
  <c r="G118" i="4"/>
  <c r="F117" i="4"/>
  <c r="E116" i="4"/>
  <c r="J120" i="4"/>
  <c r="I119" i="4"/>
  <c r="J116" i="4"/>
  <c r="E121" i="4"/>
  <c r="F118" i="4"/>
  <c r="E117" i="4"/>
  <c r="K121" i="4"/>
  <c r="K117" i="4"/>
  <c r="G119" i="4"/>
  <c r="K112" i="4"/>
  <c r="J111" i="4"/>
  <c r="I110" i="4"/>
  <c r="K108" i="4"/>
  <c r="J107" i="4"/>
  <c r="E112" i="4"/>
  <c r="G110" i="4"/>
  <c r="F109" i="4"/>
  <c r="E108" i="4"/>
  <c r="E107" i="4"/>
  <c r="J112" i="4"/>
  <c r="I111" i="4"/>
  <c r="K109" i="4"/>
  <c r="J108" i="4"/>
  <c r="I107" i="4"/>
  <c r="G111" i="4"/>
  <c r="F110" i="4"/>
  <c r="E109" i="4"/>
  <c r="G107" i="4"/>
  <c r="J110" i="4"/>
  <c r="I109" i="4"/>
  <c r="F112" i="4"/>
  <c r="G109" i="4"/>
  <c r="I112" i="4"/>
  <c r="K110" i="4"/>
  <c r="J109" i="4"/>
  <c r="I108" i="4"/>
  <c r="G112" i="4"/>
  <c r="F111" i="4"/>
  <c r="E110" i="4"/>
  <c r="G108" i="4"/>
  <c r="F107" i="4"/>
  <c r="K111" i="4"/>
  <c r="K107" i="4"/>
  <c r="E111" i="4"/>
  <c r="F108" i="4"/>
  <c r="I103" i="4"/>
  <c r="K102" i="4"/>
  <c r="J101" i="4"/>
  <c r="I100" i="4"/>
  <c r="J98" i="4"/>
  <c r="F103" i="4"/>
  <c r="E102" i="4"/>
  <c r="G100" i="4"/>
  <c r="E99" i="4"/>
  <c r="J100" i="4"/>
  <c r="F102" i="4"/>
  <c r="F99" i="4"/>
  <c r="I99" i="4"/>
  <c r="J102" i="4"/>
  <c r="I101" i="4"/>
  <c r="K99" i="4"/>
  <c r="I98" i="4"/>
  <c r="E103" i="4"/>
  <c r="G101" i="4"/>
  <c r="E100" i="4"/>
  <c r="G98" i="4"/>
  <c r="K103" i="4"/>
  <c r="I102" i="4"/>
  <c r="K100" i="4"/>
  <c r="J99" i="4"/>
  <c r="F100" i="4"/>
  <c r="G102" i="4"/>
  <c r="F101" i="4"/>
  <c r="G99" i="4"/>
  <c r="F98" i="4"/>
  <c r="J103" i="4"/>
  <c r="K101" i="4"/>
  <c r="K98" i="4"/>
  <c r="G103" i="4"/>
  <c r="E101" i="4"/>
  <c r="E98" i="4"/>
  <c r="I71" i="4"/>
  <c r="J75" i="4"/>
  <c r="K73" i="4"/>
  <c r="I72" i="4"/>
  <c r="J73" i="4"/>
  <c r="G71" i="4"/>
  <c r="K76" i="4"/>
  <c r="J76" i="4"/>
  <c r="I75" i="4"/>
  <c r="I73" i="4"/>
  <c r="I74" i="4"/>
  <c r="K71" i="4"/>
  <c r="K74" i="4"/>
  <c r="I76" i="4"/>
  <c r="J74" i="4"/>
  <c r="K72" i="4"/>
  <c r="J71" i="4"/>
  <c r="K75" i="4"/>
  <c r="J72" i="4"/>
  <c r="K80" i="4"/>
  <c r="I80" i="4"/>
  <c r="J83" i="4"/>
  <c r="J84" i="4"/>
  <c r="K82" i="4"/>
  <c r="J81" i="4"/>
  <c r="K85" i="4"/>
  <c r="J80" i="4"/>
  <c r="F80" i="4"/>
  <c r="J85" i="4"/>
  <c r="I84" i="4"/>
  <c r="J82" i="4"/>
  <c r="K84" i="4"/>
  <c r="K81" i="4"/>
  <c r="G80" i="4"/>
  <c r="I85" i="4"/>
  <c r="K83" i="4"/>
  <c r="I82" i="4"/>
  <c r="I81" i="4"/>
  <c r="I83" i="4"/>
  <c r="F91" i="4"/>
  <c r="J94" i="4"/>
  <c r="K89" i="4"/>
  <c r="I94" i="4"/>
  <c r="K92" i="4"/>
  <c r="J90" i="4"/>
  <c r="F93" i="4"/>
  <c r="E92" i="4"/>
  <c r="F90" i="4"/>
  <c r="F89" i="4"/>
  <c r="G93" i="4"/>
  <c r="J91" i="4"/>
  <c r="J89" i="4"/>
  <c r="K93" i="4"/>
  <c r="J92" i="4"/>
  <c r="I89" i="4"/>
  <c r="F94" i="4"/>
  <c r="E93" i="4"/>
  <c r="G91" i="4"/>
  <c r="E90" i="4"/>
  <c r="K90" i="4"/>
  <c r="K94" i="4"/>
  <c r="I93" i="4"/>
  <c r="F92" i="4"/>
  <c r="K91" i="4"/>
  <c r="G89" i="4"/>
  <c r="I90" i="4"/>
  <c r="J93" i="4"/>
  <c r="I92" i="4"/>
  <c r="G94" i="4"/>
  <c r="E94" i="4"/>
  <c r="G92" i="4"/>
  <c r="E91" i="4"/>
  <c r="E89" i="4"/>
  <c r="I91" i="4"/>
  <c r="G90" i="4"/>
  <c r="F71" i="4"/>
  <c r="G83" i="4"/>
  <c r="F85" i="4"/>
  <c r="F81" i="4"/>
  <c r="E82" i="4"/>
  <c r="G82" i="4"/>
  <c r="F84" i="4"/>
  <c r="E81" i="4"/>
  <c r="G81" i="4"/>
  <c r="E85" i="4"/>
  <c r="E84" i="4"/>
  <c r="G84" i="4"/>
  <c r="F82" i="4"/>
  <c r="G85" i="4"/>
  <c r="F83" i="4"/>
  <c r="E80" i="4"/>
  <c r="E83" i="4"/>
  <c r="E75" i="4"/>
  <c r="G73" i="4"/>
  <c r="F72" i="4"/>
  <c r="E76" i="4"/>
  <c r="E71" i="4"/>
  <c r="G74" i="4"/>
  <c r="F73" i="4"/>
  <c r="E72" i="4"/>
  <c r="G75" i="4"/>
  <c r="F74" i="4"/>
  <c r="E73" i="4"/>
  <c r="G76" i="4"/>
  <c r="F75" i="4"/>
  <c r="E74" i="4"/>
  <c r="G72" i="4"/>
  <c r="F76" i="4"/>
  <c r="A26" i="4"/>
  <c r="B22" i="4"/>
  <c r="E16" i="4"/>
  <c r="E15" i="4"/>
  <c r="E14" i="4"/>
  <c r="E13" i="4"/>
  <c r="E12" i="4"/>
  <c r="E11" i="4"/>
  <c r="J54" i="4" l="1"/>
  <c r="O20" i="3"/>
  <c r="O22" i="3"/>
  <c r="E17" i="4"/>
  <c r="O12" i="3"/>
  <c r="O18" i="3"/>
  <c r="O16" i="3"/>
  <c r="O14" i="3"/>
  <c r="O39" i="3" l="1"/>
  <c r="F31" i="3"/>
  <c r="D31" i="3"/>
  <c r="I31" i="3"/>
  <c r="J15" i="4" l="1"/>
  <c r="J16" i="4" l="1"/>
  <c r="C72" i="4" l="1"/>
  <c r="K67" i="4" s="1"/>
  <c r="P65" i="4" s="1"/>
  <c r="A27" i="4" l="1"/>
  <c r="O40" i="3" s="1"/>
  <c r="C40" i="3"/>
  <c r="C41" i="3"/>
  <c r="A29" i="4"/>
  <c r="O42" i="3" s="1"/>
  <c r="C42" i="3"/>
  <c r="A28" i="4"/>
  <c r="O41" i="3" s="1"/>
  <c r="Q14" i="4" l="1"/>
  <c r="C103" i="4" s="1"/>
  <c r="C98" i="4" s="1"/>
  <c r="B103" i="4" s="1"/>
  <c r="G56" i="4" l="1"/>
  <c r="C56" i="4" s="1"/>
  <c r="M14" i="4" s="1"/>
  <c r="Q16" i="4"/>
  <c r="C121" i="4" s="1"/>
  <c r="C116" i="4" s="1"/>
  <c r="B121" i="4" s="1"/>
  <c r="C76" i="4"/>
  <c r="C71" i="4" s="1"/>
  <c r="O14" i="4"/>
  <c r="H56" i="4"/>
  <c r="D56" i="4" s="1"/>
  <c r="R14" i="4" s="1"/>
  <c r="Q15" i="4"/>
  <c r="C112" i="4" s="1"/>
  <c r="C107" i="4" s="1"/>
  <c r="B112" i="4" s="1"/>
  <c r="Q13" i="4"/>
  <c r="C94" i="4" s="1"/>
  <c r="C89" i="4" s="1"/>
  <c r="B94" i="4" s="1"/>
  <c r="Q12" i="4"/>
  <c r="C85" i="4" s="1"/>
  <c r="C80" i="4" s="1"/>
  <c r="B85" i="4" s="1"/>
  <c r="B76" i="4" l="1"/>
  <c r="H53" i="4" s="1"/>
  <c r="D53" i="4" s="1"/>
  <c r="R11" i="4" s="1"/>
  <c r="G55" i="4"/>
  <c r="C55" i="4" s="1"/>
  <c r="M13" i="4" s="1"/>
  <c r="H55" i="4"/>
  <c r="D55" i="4" s="1"/>
  <c r="R13" i="4" s="1"/>
  <c r="G57" i="4"/>
  <c r="C57" i="4" s="1"/>
  <c r="M15" i="4" s="1"/>
  <c r="H57" i="4"/>
  <c r="D57" i="4" s="1"/>
  <c r="R15" i="4" s="1"/>
  <c r="O16" i="4"/>
  <c r="H23" i="3" s="1"/>
  <c r="I23" i="3" s="1"/>
  <c r="H58" i="4"/>
  <c r="D58" i="4" s="1"/>
  <c r="R16" i="4" s="1"/>
  <c r="G54" i="4"/>
  <c r="C54" i="4" s="1"/>
  <c r="H54" i="4"/>
  <c r="D54" i="4" s="1"/>
  <c r="R12" i="4" s="1"/>
  <c r="G58" i="4"/>
  <c r="C58" i="4" s="1"/>
  <c r="O11" i="4"/>
  <c r="H13" i="3" s="1"/>
  <c r="I13" i="3" s="1"/>
  <c r="G53" i="4"/>
  <c r="C53" i="4" s="1"/>
  <c r="E19" i="3"/>
  <c r="O13" i="4"/>
  <c r="O12" i="4"/>
  <c r="O15" i="4"/>
  <c r="H19" i="3"/>
  <c r="I19" i="3" s="1"/>
  <c r="E23" i="3" l="1"/>
  <c r="M16" i="4"/>
  <c r="F16" i="4" s="1"/>
  <c r="E15" i="3"/>
  <c r="M12" i="4"/>
  <c r="F15" i="3" s="1"/>
  <c r="M11" i="4"/>
  <c r="E17" i="3"/>
  <c r="E21" i="3"/>
  <c r="H21" i="3"/>
  <c r="I21" i="3" s="1"/>
  <c r="H17" i="3"/>
  <c r="I17" i="3" s="1"/>
  <c r="F17" i="3"/>
  <c r="F13" i="4"/>
  <c r="H15" i="3"/>
  <c r="I15" i="3" s="1"/>
  <c r="F14" i="4"/>
  <c r="F19" i="3"/>
  <c r="N18" i="3" s="1"/>
  <c r="F15" i="4"/>
  <c r="F21" i="3"/>
  <c r="F11" i="4" l="1"/>
  <c r="G11" i="4" s="1"/>
  <c r="H11" i="4" s="1"/>
  <c r="F13" i="3"/>
  <c r="N12" i="3" s="1"/>
  <c r="E13" i="3"/>
  <c r="F12" i="4"/>
  <c r="F23" i="3"/>
  <c r="N22" i="3" s="1"/>
  <c r="N20" i="3"/>
  <c r="N16" i="3"/>
  <c r="G16" i="4"/>
  <c r="H16" i="4" s="1"/>
  <c r="N14" i="3"/>
  <c r="G14" i="4"/>
  <c r="H14" i="4" s="1"/>
  <c r="J14" i="4" s="1"/>
  <c r="G15" i="4"/>
  <c r="H15" i="4" s="1"/>
  <c r="G13" i="4"/>
  <c r="H13" i="4" s="1"/>
  <c r="J13" i="4" s="1"/>
  <c r="R17" i="4"/>
  <c r="N23" i="3" l="1"/>
  <c r="I16" i="4"/>
  <c r="N21" i="3"/>
  <c r="I15" i="4"/>
  <c r="F17" i="4"/>
  <c r="N19" i="3"/>
  <c r="I14" i="4"/>
  <c r="N17" i="3"/>
  <c r="I13" i="4"/>
  <c r="G12" i="4"/>
  <c r="H12" i="4" s="1"/>
  <c r="J12" i="4" s="1"/>
  <c r="I11" i="4"/>
  <c r="J11" i="4"/>
  <c r="R25" i="3"/>
  <c r="A21" i="4"/>
  <c r="B21" i="4" s="1"/>
  <c r="T13" i="3" s="1"/>
  <c r="N13" i="3"/>
  <c r="G23" i="4" l="1"/>
  <c r="V20" i="3" s="1"/>
  <c r="I12" i="4"/>
  <c r="I17" i="4" s="1"/>
  <c r="X17" i="3" s="1"/>
  <c r="T17" i="4"/>
  <c r="H17" i="4"/>
  <c r="N15" i="3"/>
  <c r="J17" i="4"/>
  <c r="C21" i="4"/>
  <c r="V25" i="3" s="1"/>
  <c r="F34" i="4"/>
  <c r="L33" i="4"/>
  <c r="O25" i="3" s="1"/>
  <c r="J34" i="4"/>
  <c r="T21" i="3"/>
  <c r="T17" i="3"/>
  <c r="F23" i="4"/>
  <c r="E46" i="4" l="1"/>
  <c r="T18" i="3" s="1"/>
  <c r="D46" i="4"/>
  <c r="T14" i="3" s="1"/>
  <c r="H21" i="4"/>
  <c r="X12" i="3" s="1"/>
  <c r="H22" i="4"/>
  <c r="X16" i="3" s="1"/>
  <c r="X13" i="3"/>
  <c r="H23" i="4"/>
  <c r="X20" i="3" s="1"/>
  <c r="X21" i="3"/>
  <c r="G21" i="4"/>
  <c r="V12" i="3" s="1"/>
  <c r="G22" i="4"/>
  <c r="V16" i="3" s="1"/>
  <c r="B41" i="4"/>
  <c r="E41" i="4"/>
  <c r="D41" i="4"/>
  <c r="C41" i="4"/>
  <c r="T20" i="3"/>
  <c r="I23" i="4" l="1"/>
  <c r="Z20" i="3" s="1"/>
  <c r="AA20" i="3" s="1"/>
  <c r="D49" i="4"/>
  <c r="E49" i="4"/>
  <c r="V24" i="3"/>
  <c r="C42" i="4"/>
  <c r="X24" i="3"/>
  <c r="D42" i="4"/>
  <c r="F22" i="4" s="1"/>
  <c r="F21" i="4" l="1"/>
  <c r="T12" i="3" s="1"/>
  <c r="T16" i="3"/>
  <c r="I22" i="4"/>
  <c r="Z16" i="3" s="1"/>
  <c r="I21" i="4" l="1"/>
  <c r="Z12" i="3" s="1"/>
  <c r="AA16" i="3"/>
  <c r="T24" i="3"/>
  <c r="I24" i="4" l="1"/>
  <c r="U27" i="3" s="1"/>
  <c r="Y27" i="3" s="1"/>
  <c r="Z24" i="3"/>
  <c r="A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0" authorId="0" shapeId="0" xr:uid="{00000000-0006-0000-0200-000001000000}">
      <text>
        <r>
          <rPr>
            <b/>
            <sz val="9"/>
            <color indexed="81"/>
            <rFont val="ＭＳ Ｐゴシック"/>
            <family val="3"/>
            <charset val="128"/>
          </rPr>
          <t>非自発的失業者に該当の場合☑する。</t>
        </r>
      </text>
    </comment>
    <comment ref="S10" authorId="0" shapeId="0" xr:uid="{00000000-0006-0000-0200-000002000000}">
      <text>
        <r>
          <rPr>
            <b/>
            <sz val="9"/>
            <color indexed="81"/>
            <rFont val="ＭＳ Ｐゴシック"/>
            <family val="3"/>
            <charset val="128"/>
          </rPr>
          <t>専従者控除、特別控除等がある場合に入力する。</t>
        </r>
      </text>
    </comment>
    <comment ref="C22" authorId="0" shapeId="0" xr:uid="{00000000-0006-0000-0200-000003000000}">
      <text>
        <r>
          <rPr>
            <b/>
            <sz val="9"/>
            <color indexed="81"/>
            <rFont val="ＭＳ Ｐゴシック"/>
            <family val="3"/>
            <charset val="128"/>
          </rPr>
          <t>軽減判定が自動でうまくいかない場合に設定する。</t>
        </r>
      </text>
    </comment>
    <comment ref="E27" authorId="0" shapeId="0" xr:uid="{00000000-0006-0000-0200-000004000000}">
      <text>
        <r>
          <rPr>
            <b/>
            <sz val="9"/>
            <color indexed="81"/>
            <rFont val="MS P ゴシック"/>
            <family val="3"/>
            <charset val="128"/>
          </rPr>
          <t>40歳～64歳の人を追加する場合、「医療・支援」と「介護」の両方で1人分を計上してください。</t>
        </r>
      </text>
    </comment>
    <comment ref="E28" authorId="0" shapeId="0" xr:uid="{00000000-0006-0000-0200-000005000000}">
      <text>
        <r>
          <rPr>
            <b/>
            <sz val="9"/>
            <color indexed="81"/>
            <rFont val="MS P ゴシック"/>
            <family val="3"/>
            <charset val="128"/>
          </rPr>
          <t>世帯内に特定同一世帯所属者（旧国）がいる場合に、追加人数を入力してください。</t>
        </r>
      </text>
    </comment>
    <comment ref="F33" authorId="0" shapeId="0" xr:uid="{00000000-0006-0000-0200-000006000000}">
      <text>
        <r>
          <rPr>
            <b/>
            <sz val="9"/>
            <color indexed="81"/>
            <rFont val="ＭＳ Ｐゴシック"/>
            <family val="3"/>
            <charset val="128"/>
          </rPr>
          <t xml:space="preserve">1/2=0.5 (5年間)
3/4=0.75(3年間)
</t>
        </r>
        <r>
          <rPr>
            <b/>
            <sz val="8"/>
            <color indexed="81"/>
            <rFont val="ＭＳ Ｐゴシック"/>
            <family val="3"/>
            <charset val="128"/>
          </rPr>
          <t>(該当年度+翌年度～)</t>
        </r>
      </text>
    </comment>
    <comment ref="J33" authorId="0" shapeId="0" xr:uid="{00000000-0006-0000-0200-000007000000}">
      <text>
        <r>
          <rPr>
            <b/>
            <sz val="9"/>
            <color indexed="81"/>
            <rFont val="ＭＳ Ｐゴシック"/>
            <family val="3"/>
            <charset val="128"/>
          </rPr>
          <t>旧被扶養者(65歳以上）
均等割1/2の人数
24ケ月間のみ</t>
        </r>
      </text>
    </comment>
    <comment ref="K34" authorId="0" shapeId="0" xr:uid="{00000000-0006-0000-0200-000008000000}">
      <text>
        <r>
          <rPr>
            <b/>
            <sz val="9"/>
            <color indexed="81"/>
            <rFont val="MS P ゴシック"/>
            <family val="3"/>
            <charset val="128"/>
          </rPr>
          <t>65～74歳の人数を表示します。</t>
        </r>
      </text>
    </comment>
  </commentList>
</comments>
</file>

<file path=xl/sharedStrings.xml><?xml version="1.0" encoding="utf-8"?>
<sst xmlns="http://schemas.openxmlformats.org/spreadsheetml/2006/main" count="404" uniqueCount="238">
  <si>
    <t>世帯主</t>
    <rPh sb="0" eb="3">
      <t>セタイヌシ</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</si>
  <si>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</si>
  <si>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</si>
  <si>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</si>
  <si>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</si>
  <si>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</si>
  <si>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年齢区分</t>
    <rPh sb="0" eb="2">
      <t>ネンレイ</t>
    </rPh>
    <rPh sb="2" eb="4">
      <t>クブン</t>
    </rPh>
    <phoneticPr fontId="1"/>
  </si>
  <si>
    <t>年度</t>
    <rPh sb="0" eb="2">
      <t>ネンド</t>
    </rPh>
    <phoneticPr fontId="2"/>
  </si>
  <si>
    <t>料率</t>
    <rPh sb="0" eb="2">
      <t>リョウリツ</t>
    </rPh>
    <phoneticPr fontId="2"/>
  </si>
  <si>
    <t>医療分</t>
    <rPh sb="0" eb="2">
      <t>イリョウ</t>
    </rPh>
    <rPh sb="2" eb="3">
      <t>ブン</t>
    </rPh>
    <phoneticPr fontId="2"/>
  </si>
  <si>
    <t>均等割</t>
    <rPh sb="0" eb="3">
      <t>キントウワ</t>
    </rPh>
    <phoneticPr fontId="2"/>
  </si>
  <si>
    <t>介護分</t>
    <rPh sb="0" eb="2">
      <t>カイゴ</t>
    </rPh>
    <rPh sb="2" eb="3">
      <t>ブン</t>
    </rPh>
    <phoneticPr fontId="2"/>
  </si>
  <si>
    <t>支援分</t>
    <rPh sb="0" eb="2">
      <t>シエン</t>
    </rPh>
    <rPh sb="2" eb="3">
      <t>ブン</t>
    </rPh>
    <phoneticPr fontId="2"/>
  </si>
  <si>
    <t>平等割</t>
    <rPh sb="0" eb="2">
      <t>ビョウドウ</t>
    </rPh>
    <rPh sb="2" eb="3">
      <t>ワリ</t>
    </rPh>
    <phoneticPr fontId="2"/>
  </si>
  <si>
    <t>基礎控除額</t>
    <rPh sb="0" eb="2">
      <t>キソ</t>
    </rPh>
    <rPh sb="2" eb="4">
      <t>コウジョ</t>
    </rPh>
    <rPh sb="4" eb="5">
      <t>ガク</t>
    </rPh>
    <phoneticPr fontId="2"/>
  </si>
  <si>
    <t>人数判定</t>
    <phoneticPr fontId="2"/>
  </si>
  <si>
    <t>介護判定</t>
    <rPh sb="0" eb="2">
      <t>カイゴ</t>
    </rPh>
    <phoneticPr fontId="2"/>
  </si>
  <si>
    <t>総所得金額等</t>
    <rPh sb="0" eb="3">
      <t>ソウショトク</t>
    </rPh>
    <rPh sb="3" eb="5">
      <t>キンガク</t>
    </rPh>
    <rPh sb="5" eb="6">
      <t>トウ</t>
    </rPh>
    <phoneticPr fontId="2"/>
  </si>
  <si>
    <t>賦課基準額</t>
    <rPh sb="0" eb="2">
      <t>フカ</t>
    </rPh>
    <rPh sb="2" eb="4">
      <t>キジュン</t>
    </rPh>
    <rPh sb="4" eb="5">
      <t>ガク</t>
    </rPh>
    <phoneticPr fontId="2"/>
  </si>
  <si>
    <t>介護分基準額</t>
    <rPh sb="0" eb="2">
      <t>カイゴ</t>
    </rPh>
    <rPh sb="2" eb="3">
      <t>ブン</t>
    </rPh>
    <rPh sb="3" eb="5">
      <t>キジュン</t>
    </rPh>
    <rPh sb="5" eb="6">
      <t>ガク</t>
    </rPh>
    <phoneticPr fontId="2"/>
  </si>
  <si>
    <t>医療分基準額</t>
    <rPh sb="0" eb="2">
      <t>イリョウ</t>
    </rPh>
    <rPh sb="2" eb="3">
      <t>ブン</t>
    </rPh>
    <rPh sb="3" eb="5">
      <t>キジュン</t>
    </rPh>
    <rPh sb="5" eb="6">
      <t>ガク</t>
    </rPh>
    <phoneticPr fontId="2"/>
  </si>
  <si>
    <t>7割軽減</t>
    <rPh sb="1" eb="2">
      <t>ワリ</t>
    </rPh>
    <rPh sb="2" eb="4">
      <t>ケイゲン</t>
    </rPh>
    <phoneticPr fontId="2"/>
  </si>
  <si>
    <t>5割軽減</t>
    <rPh sb="1" eb="2">
      <t>ワリ</t>
    </rPh>
    <rPh sb="2" eb="4">
      <t>ケイゲン</t>
    </rPh>
    <phoneticPr fontId="2"/>
  </si>
  <si>
    <t>２割軽減</t>
    <rPh sb="1" eb="2">
      <t>ワリ</t>
    </rPh>
    <rPh sb="2" eb="4">
      <t>ケイゲン</t>
    </rPh>
    <phoneticPr fontId="2"/>
  </si>
  <si>
    <t>軽減判定総所得</t>
    <rPh sb="0" eb="2">
      <t>ケイゲン</t>
    </rPh>
    <rPh sb="2" eb="4">
      <t>ハンテイ</t>
    </rPh>
    <rPh sb="4" eb="5">
      <t>ソウ</t>
    </rPh>
    <rPh sb="5" eb="7">
      <t>ショトク</t>
    </rPh>
    <phoneticPr fontId="2"/>
  </si>
  <si>
    <t>軽減判定基準額</t>
    <rPh sb="0" eb="2">
      <t>ケイゲン</t>
    </rPh>
    <rPh sb="2" eb="4">
      <t>ハンテイ</t>
    </rPh>
    <rPh sb="4" eb="6">
      <t>キジュン</t>
    </rPh>
    <rPh sb="6" eb="7">
      <t>ガク</t>
    </rPh>
    <phoneticPr fontId="2"/>
  </si>
  <si>
    <t>軽減</t>
    <rPh sb="0" eb="2">
      <t>ケイゲン</t>
    </rPh>
    <phoneticPr fontId="2"/>
  </si>
  <si>
    <t>2割軽減</t>
    <rPh sb="1" eb="2">
      <t>ワリ</t>
    </rPh>
    <rPh sb="2" eb="4">
      <t>ケイゲン</t>
    </rPh>
    <phoneticPr fontId="2"/>
  </si>
  <si>
    <t>軽減率</t>
    <rPh sb="0" eb="2">
      <t>ケイゲン</t>
    </rPh>
    <rPh sb="2" eb="3">
      <t>リツ</t>
    </rPh>
    <phoneticPr fontId="2"/>
  </si>
  <si>
    <t>軽減非該当</t>
    <rPh sb="0" eb="2">
      <t>ケイゲン</t>
    </rPh>
    <rPh sb="2" eb="5">
      <t>ヒガイトウ</t>
    </rPh>
    <phoneticPr fontId="2"/>
  </si>
  <si>
    <t>所得割</t>
    <rPh sb="0" eb="2">
      <t>ショトク</t>
    </rPh>
    <rPh sb="2" eb="3">
      <t>ワリ</t>
    </rPh>
    <phoneticPr fontId="2"/>
  </si>
  <si>
    <t>合計</t>
    <rPh sb="0" eb="2">
      <t>ゴウケイ</t>
    </rPh>
    <phoneticPr fontId="2"/>
  </si>
  <si>
    <t>世帯主</t>
    <rPh sb="0" eb="3">
      <t>セタイヌシ</t>
    </rPh>
    <phoneticPr fontId="1"/>
  </si>
  <si>
    <t>加入者1</t>
    <rPh sb="0" eb="3">
      <t>カニュウシャ</t>
    </rPh>
    <phoneticPr fontId="1"/>
  </si>
  <si>
    <t>加入者2</t>
    <rPh sb="0" eb="3">
      <t>カニュウシャ</t>
    </rPh>
    <phoneticPr fontId="1"/>
  </si>
  <si>
    <t>加入者3</t>
    <rPh sb="0" eb="3">
      <t>カニュウシャ</t>
    </rPh>
    <phoneticPr fontId="1"/>
  </si>
  <si>
    <t>加入者4</t>
    <rPh sb="0" eb="3">
      <t>カニュウシャ</t>
    </rPh>
    <phoneticPr fontId="1"/>
  </si>
  <si>
    <t>加入者5</t>
    <rPh sb="0" eb="3">
      <t>カニュウシャ</t>
    </rPh>
    <phoneticPr fontId="1"/>
  </si>
  <si>
    <t>計</t>
    <rPh sb="0" eb="1">
      <t>ケイ</t>
    </rPh>
    <phoneticPr fontId="1"/>
  </si>
  <si>
    <t>医療分</t>
    <rPh sb="0" eb="2">
      <t>イリョウ</t>
    </rPh>
    <rPh sb="2" eb="3">
      <t>ブン</t>
    </rPh>
    <phoneticPr fontId="1"/>
  </si>
  <si>
    <t>被保険者
均等割</t>
    <rPh sb="0" eb="4">
      <t>ヒホケンシャ</t>
    </rPh>
    <rPh sb="5" eb="8">
      <t>キントウワ</t>
    </rPh>
    <phoneticPr fontId="1"/>
  </si>
  <si>
    <t>支援分</t>
    <rPh sb="0" eb="2">
      <t>シエン</t>
    </rPh>
    <rPh sb="2" eb="3">
      <t>ブン</t>
    </rPh>
    <phoneticPr fontId="1"/>
  </si>
  <si>
    <t>介護分</t>
    <rPh sb="0" eb="2">
      <t>カイゴ</t>
    </rPh>
    <rPh sb="2" eb="3">
      <t>ブン</t>
    </rPh>
    <phoneticPr fontId="1"/>
  </si>
  <si>
    <t>世帯別
平等割</t>
    <rPh sb="0" eb="2">
      <t>セタイ</t>
    </rPh>
    <rPh sb="2" eb="3">
      <t>ベツ</t>
    </rPh>
    <rPh sb="4" eb="6">
      <t>ビョウドウ</t>
    </rPh>
    <rPh sb="6" eb="7">
      <t>ワリ</t>
    </rPh>
    <phoneticPr fontId="1"/>
  </si>
  <si>
    <t>算定額</t>
    <rPh sb="0" eb="2">
      <t>サンテイ</t>
    </rPh>
    <rPh sb="2" eb="3">
      <t>ガク</t>
    </rPh>
    <phoneticPr fontId="1"/>
  </si>
  <si>
    <t>年間の保険料（試算額）</t>
    <rPh sb="0" eb="1">
      <t>ネン</t>
    </rPh>
    <rPh sb="1" eb="2">
      <t>カン</t>
    </rPh>
    <rPh sb="3" eb="6">
      <t>ホケンリョウ</t>
    </rPh>
    <rPh sb="7" eb="9">
      <t>シサン</t>
    </rPh>
    <rPh sb="9" eb="10">
      <t>ガク</t>
    </rPh>
    <phoneticPr fontId="1"/>
  </si>
  <si>
    <t>円</t>
    <rPh sb="0" eb="1">
      <t>エン</t>
    </rPh>
    <phoneticPr fontId="1"/>
  </si>
  <si>
    <t>所得基準（前年中の総所得金額等の合算額）</t>
    <rPh sb="0" eb="2">
      <t>ショトク</t>
    </rPh>
    <rPh sb="2" eb="4">
      <t>キジュン</t>
    </rPh>
    <rPh sb="5" eb="7">
      <t>ゼンネン</t>
    </rPh>
    <rPh sb="7" eb="8">
      <t>チュウ</t>
    </rPh>
    <rPh sb="9" eb="12">
      <t>ソウショトク</t>
    </rPh>
    <rPh sb="12" eb="14">
      <t>キンガク</t>
    </rPh>
    <rPh sb="14" eb="15">
      <t>トウ</t>
    </rPh>
    <rPh sb="16" eb="18">
      <t>ガッサン</t>
    </rPh>
    <rPh sb="18" eb="19">
      <t>ガク</t>
    </rPh>
    <phoneticPr fontId="1"/>
  </si>
  <si>
    <t>軽減割合</t>
    <rPh sb="0" eb="2">
      <t>ケイゲン</t>
    </rPh>
    <rPh sb="2" eb="4">
      <t>ワリアイ</t>
    </rPh>
    <phoneticPr fontId="1"/>
  </si>
  <si>
    <t>７割</t>
    <rPh sb="1" eb="2">
      <t>ワリ</t>
    </rPh>
    <phoneticPr fontId="1"/>
  </si>
  <si>
    <t>５割</t>
    <rPh sb="1" eb="2">
      <t>ワリ</t>
    </rPh>
    <phoneticPr fontId="1"/>
  </si>
  <si>
    <t>２割</t>
    <rPh sb="1" eb="2">
      <t>ワリ</t>
    </rPh>
    <phoneticPr fontId="1"/>
  </si>
  <si>
    <t>区 分</t>
    <rPh sb="0" eb="1">
      <t>ク</t>
    </rPh>
    <rPh sb="2" eb="3">
      <t>ブン</t>
    </rPh>
    <phoneticPr fontId="1"/>
  </si>
  <si>
    <t>①年齢区分</t>
    <rPh sb="1" eb="3">
      <t>ネンレイ</t>
    </rPh>
    <rPh sb="3" eb="5">
      <t>クブン</t>
    </rPh>
    <phoneticPr fontId="1"/>
  </si>
  <si>
    <t xml:space="preserve"> 円</t>
    <rPh sb="1" eb="2">
      <t>エン</t>
    </rPh>
    <phoneticPr fontId="1"/>
  </si>
  <si>
    <t>所 得 割</t>
    <rPh sb="0" eb="1">
      <t>ショ</t>
    </rPh>
    <rPh sb="2" eb="3">
      <t>エ</t>
    </rPh>
    <rPh sb="4" eb="5">
      <t>ワリ</t>
    </rPh>
    <phoneticPr fontId="2"/>
  </si>
  <si>
    <t>限 度 額</t>
    <rPh sb="0" eb="1">
      <t>キリ</t>
    </rPh>
    <rPh sb="2" eb="3">
      <t>ド</t>
    </rPh>
    <rPh sb="4" eb="5">
      <t>ガク</t>
    </rPh>
    <phoneticPr fontId="2"/>
  </si>
  <si>
    <t>給与収入</t>
    <rPh sb="0" eb="2">
      <t>キュウヨ</t>
    </rPh>
    <rPh sb="2" eb="4">
      <t>シュウニュウ</t>
    </rPh>
    <phoneticPr fontId="2"/>
  </si>
  <si>
    <t>給与所得</t>
    <rPh sb="0" eb="2">
      <t>キュウヨ</t>
    </rPh>
    <rPh sb="2" eb="4">
      <t>ショトク</t>
    </rPh>
    <phoneticPr fontId="2"/>
  </si>
  <si>
    <t>給与所得計算表</t>
    <rPh sb="0" eb="2">
      <t>キュウヨ</t>
    </rPh>
    <rPh sb="2" eb="4">
      <t>ショトク</t>
    </rPh>
    <rPh sb="4" eb="6">
      <t>ケイサン</t>
    </rPh>
    <rPh sb="6" eb="7">
      <t>ヒョウ</t>
    </rPh>
    <phoneticPr fontId="2"/>
  </si>
  <si>
    <t>●給与所得簡易計算</t>
    <rPh sb="1" eb="3">
      <t>キュウヨ</t>
    </rPh>
    <rPh sb="3" eb="5">
      <t>ショトク</t>
    </rPh>
    <rPh sb="5" eb="7">
      <t>カンイ</t>
    </rPh>
    <rPh sb="7" eb="9">
      <t>ケイサン</t>
    </rPh>
    <phoneticPr fontId="2"/>
  </si>
  <si>
    <t>公的年金等収入</t>
    <rPh sb="0" eb="2">
      <t>コウテキ</t>
    </rPh>
    <rPh sb="2" eb="4">
      <t>ネンキン</t>
    </rPh>
    <rPh sb="4" eb="5">
      <t>トウ</t>
    </rPh>
    <rPh sb="5" eb="7">
      <t>シュウニュウ</t>
    </rPh>
    <phoneticPr fontId="2"/>
  </si>
  <si>
    <t>年金所得</t>
    <rPh sb="0" eb="2">
      <t>ネンキン</t>
    </rPh>
    <rPh sb="2" eb="4">
      <t>ショトク</t>
    </rPh>
    <phoneticPr fontId="2"/>
  </si>
  <si>
    <t>●公的年金等の雑所得の計算</t>
    <rPh sb="1" eb="3">
      <t>コウテキ</t>
    </rPh>
    <rPh sb="3" eb="5">
      <t>ネンキン</t>
    </rPh>
    <rPh sb="5" eb="6">
      <t>トウ</t>
    </rPh>
    <rPh sb="7" eb="10">
      <t>ザッショトク</t>
    </rPh>
    <rPh sb="11" eb="13">
      <t>ケイサン</t>
    </rPh>
    <phoneticPr fontId="2"/>
  </si>
  <si>
    <t>６５歳以上</t>
    <rPh sb="2" eb="3">
      <t>サイ</t>
    </rPh>
    <rPh sb="3" eb="5">
      <t>イジョウ</t>
    </rPh>
    <phoneticPr fontId="2"/>
  </si>
  <si>
    <t>軽減判定強制適用</t>
    <rPh sb="0" eb="2">
      <t>ケイゲン</t>
    </rPh>
    <rPh sb="2" eb="4">
      <t>ハンテイ</t>
    </rPh>
    <rPh sb="4" eb="6">
      <t>キョウセイ</t>
    </rPh>
    <rPh sb="6" eb="8">
      <t>テキヨウ</t>
    </rPh>
    <phoneticPr fontId="2"/>
  </si>
  <si>
    <t>医・支・介の計</t>
    <rPh sb="0" eb="1">
      <t>イ</t>
    </rPh>
    <rPh sb="2" eb="3">
      <t>シ</t>
    </rPh>
    <rPh sb="4" eb="5">
      <t>スケ</t>
    </rPh>
    <rPh sb="6" eb="7">
      <t>ケイ</t>
    </rPh>
    <phoneticPr fontId="1"/>
  </si>
  <si>
    <t>※２　特定同一世帯所属者…後期高齢者医療制度への移行により、国保を脱退した人で、同じ世帯に国保加入者がいる人</t>
    <rPh sb="3" eb="5">
      <t>トクテイ</t>
    </rPh>
    <rPh sb="5" eb="7">
      <t>ドウイツ</t>
    </rPh>
    <rPh sb="7" eb="9">
      <t>セタイ</t>
    </rPh>
    <rPh sb="9" eb="11">
      <t>ショゾク</t>
    </rPh>
    <rPh sb="11" eb="12">
      <t>シャ</t>
    </rPh>
    <rPh sb="13" eb="15">
      <t>コウキ</t>
    </rPh>
    <rPh sb="15" eb="18">
      <t>コウレイシャ</t>
    </rPh>
    <rPh sb="18" eb="20">
      <t>イリョウ</t>
    </rPh>
    <rPh sb="20" eb="22">
      <t>セイド</t>
    </rPh>
    <rPh sb="24" eb="26">
      <t>イコウ</t>
    </rPh>
    <rPh sb="30" eb="32">
      <t>コクホ</t>
    </rPh>
    <rPh sb="33" eb="35">
      <t>ダッタイ</t>
    </rPh>
    <rPh sb="37" eb="38">
      <t>ヒト</t>
    </rPh>
    <rPh sb="40" eb="41">
      <t>オナ</t>
    </rPh>
    <rPh sb="42" eb="44">
      <t>セタイ</t>
    </rPh>
    <rPh sb="45" eb="47">
      <t>コクホ</t>
    </rPh>
    <rPh sb="47" eb="50">
      <t>カニュウシャ</t>
    </rPh>
    <rPh sb="53" eb="54">
      <t>ヒト</t>
    </rPh>
    <phoneticPr fontId="1"/>
  </si>
  <si>
    <t>（１か月約</t>
    <rPh sb="3" eb="4">
      <t>ツキ</t>
    </rPh>
    <rPh sb="4" eb="5">
      <t>ヤク</t>
    </rPh>
    <phoneticPr fontId="1"/>
  </si>
  <si>
    <t>[算定内訳]</t>
    <rPh sb="1" eb="3">
      <t>サンテイ</t>
    </rPh>
    <rPh sb="3" eb="5">
      <t>ウチワケ</t>
    </rPh>
    <phoneticPr fontId="1"/>
  </si>
  <si>
    <t>⇒</t>
    <phoneticPr fontId="1"/>
  </si>
  <si>
    <t>世帯主</t>
    <rPh sb="0" eb="3">
      <t>セタイヌシ</t>
    </rPh>
    <phoneticPr fontId="28"/>
  </si>
  <si>
    <t>その他所得</t>
    <rPh sb="2" eb="3">
      <t>タ</t>
    </rPh>
    <rPh sb="3" eb="5">
      <t>ショトク</t>
    </rPh>
    <phoneticPr fontId="2"/>
  </si>
  <si>
    <t>軽減判定所得</t>
    <rPh sb="0" eb="2">
      <t>ケイゲン</t>
    </rPh>
    <rPh sb="2" eb="4">
      <t>ハンテイ</t>
    </rPh>
    <rPh sb="4" eb="6">
      <t>ショトク</t>
    </rPh>
    <phoneticPr fontId="2"/>
  </si>
  <si>
    <t>公的年金収入</t>
    <rPh sb="0" eb="2">
      <t>コウテキ</t>
    </rPh>
    <rPh sb="2" eb="4">
      <t>ネンキン</t>
    </rPh>
    <rPh sb="4" eb="6">
      <t>シュウニュウ</t>
    </rPh>
    <phoneticPr fontId="2"/>
  </si>
  <si>
    <t>年間保険料</t>
    <rPh sb="0" eb="2">
      <t>ネンカン</t>
    </rPh>
    <rPh sb="2" eb="5">
      <t>ホケンリョウ</t>
    </rPh>
    <phoneticPr fontId="28"/>
  </si>
  <si>
    <t>算定基礎情報</t>
    <rPh sb="0" eb="2">
      <t>サンテイ</t>
    </rPh>
    <rPh sb="2" eb="4">
      <t>キソ</t>
    </rPh>
    <rPh sb="4" eb="6">
      <t>ジョウホウ</t>
    </rPh>
    <phoneticPr fontId="28"/>
  </si>
  <si>
    <t>料率</t>
    <rPh sb="0" eb="2">
      <t>リョウリツ</t>
    </rPh>
    <phoneticPr fontId="28"/>
  </si>
  <si>
    <t>軽減基準額</t>
    <rPh sb="0" eb="2">
      <t>ケイゲン</t>
    </rPh>
    <rPh sb="2" eb="4">
      <t>キジュン</t>
    </rPh>
    <rPh sb="4" eb="5">
      <t>ガク</t>
    </rPh>
    <phoneticPr fontId="28"/>
  </si>
  <si>
    <t>追加加入</t>
    <rPh sb="0" eb="2">
      <t>ツイカ</t>
    </rPh>
    <rPh sb="2" eb="4">
      <t>カニュウ</t>
    </rPh>
    <phoneticPr fontId="28"/>
  </si>
  <si>
    <t>医療・支援</t>
    <rPh sb="0" eb="2">
      <t>イリョウ</t>
    </rPh>
    <rPh sb="3" eb="5">
      <t>シエン</t>
    </rPh>
    <phoneticPr fontId="28"/>
  </si>
  <si>
    <t>介護</t>
    <rPh sb="0" eb="2">
      <t>カイゴ</t>
    </rPh>
    <phoneticPr fontId="28"/>
  </si>
  <si>
    <t>軽減追加</t>
    <rPh sb="0" eb="2">
      <t>ケイゲン</t>
    </rPh>
    <rPh sb="2" eb="4">
      <t>ツイカ</t>
    </rPh>
    <phoneticPr fontId="28"/>
  </si>
  <si>
    <t>-</t>
    <phoneticPr fontId="28"/>
  </si>
  <si>
    <t>世帯別平等割</t>
    <phoneticPr fontId="28"/>
  </si>
  <si>
    <t>医療分</t>
    <rPh sb="0" eb="2">
      <t>イリョウ</t>
    </rPh>
    <rPh sb="2" eb="3">
      <t>ブン</t>
    </rPh>
    <phoneticPr fontId="35"/>
  </si>
  <si>
    <t>支援分</t>
    <rPh sb="0" eb="2">
      <t>シエン</t>
    </rPh>
    <rPh sb="2" eb="3">
      <t>ブン</t>
    </rPh>
    <phoneticPr fontId="35"/>
  </si>
  <si>
    <t>介護分</t>
    <rPh sb="0" eb="2">
      <t>カイゴ</t>
    </rPh>
    <rPh sb="2" eb="3">
      <t>ブン</t>
    </rPh>
    <phoneticPr fontId="35"/>
  </si>
  <si>
    <t>均</t>
    <rPh sb="0" eb="1">
      <t>ヒトシ</t>
    </rPh>
    <phoneticPr fontId="34"/>
  </si>
  <si>
    <t>均7減</t>
    <rPh sb="0" eb="1">
      <t>キン</t>
    </rPh>
    <rPh sb="2" eb="3">
      <t>ゲン</t>
    </rPh>
    <phoneticPr fontId="34"/>
  </si>
  <si>
    <t>均5減</t>
    <rPh sb="0" eb="1">
      <t>キン</t>
    </rPh>
    <rPh sb="2" eb="3">
      <t>ゲン</t>
    </rPh>
    <phoneticPr fontId="34"/>
  </si>
  <si>
    <t>均2減</t>
    <rPh sb="0" eb="1">
      <t>キン</t>
    </rPh>
    <rPh sb="2" eb="3">
      <t>ゲン</t>
    </rPh>
    <phoneticPr fontId="34"/>
  </si>
  <si>
    <t>平</t>
    <rPh sb="0" eb="1">
      <t>ヘイ</t>
    </rPh>
    <phoneticPr fontId="35"/>
  </si>
  <si>
    <t>平7減</t>
    <rPh sb="0" eb="1">
      <t>ヘイ</t>
    </rPh>
    <rPh sb="2" eb="3">
      <t>ゲン</t>
    </rPh>
    <phoneticPr fontId="35"/>
  </si>
  <si>
    <t>平5減</t>
    <rPh sb="0" eb="1">
      <t>ヘイ</t>
    </rPh>
    <rPh sb="2" eb="3">
      <t>ゲン</t>
    </rPh>
    <phoneticPr fontId="35"/>
  </si>
  <si>
    <t>平2減</t>
    <rPh sb="0" eb="1">
      <t>ヘイ</t>
    </rPh>
    <rPh sb="2" eb="3">
      <t>ゲン</t>
    </rPh>
    <phoneticPr fontId="35"/>
  </si>
  <si>
    <t>平1/2</t>
    <rPh sb="0" eb="1">
      <t>ヘイ</t>
    </rPh>
    <phoneticPr fontId="35"/>
  </si>
  <si>
    <t>平7減1/2</t>
    <rPh sb="0" eb="1">
      <t>ヘイ</t>
    </rPh>
    <rPh sb="2" eb="3">
      <t>ゲン</t>
    </rPh>
    <phoneticPr fontId="35"/>
  </si>
  <si>
    <t>平5減1/2</t>
    <rPh sb="0" eb="1">
      <t>ヘイ</t>
    </rPh>
    <rPh sb="2" eb="3">
      <t>ゲン</t>
    </rPh>
    <phoneticPr fontId="35"/>
  </si>
  <si>
    <t>平2減1/2</t>
    <rPh sb="0" eb="1">
      <t>ヘイ</t>
    </rPh>
    <rPh sb="2" eb="3">
      <t>ゲン</t>
    </rPh>
    <phoneticPr fontId="35"/>
  </si>
  <si>
    <t>平3/4</t>
    <rPh sb="0" eb="1">
      <t>ヘイ</t>
    </rPh>
    <phoneticPr fontId="35"/>
  </si>
  <si>
    <t>平7減3/4</t>
    <rPh sb="0" eb="1">
      <t>ヘイ</t>
    </rPh>
    <rPh sb="2" eb="3">
      <t>ゲン</t>
    </rPh>
    <phoneticPr fontId="35"/>
  </si>
  <si>
    <t>平5減3/4</t>
    <rPh sb="0" eb="1">
      <t>ヘイ</t>
    </rPh>
    <rPh sb="2" eb="3">
      <t>ゲン</t>
    </rPh>
    <phoneticPr fontId="35"/>
  </si>
  <si>
    <t>平2減3/4</t>
    <rPh sb="0" eb="1">
      <t>ヘイ</t>
    </rPh>
    <rPh sb="2" eb="3">
      <t>ゲン</t>
    </rPh>
    <phoneticPr fontId="35"/>
  </si>
  <si>
    <t>料率</t>
    <rPh sb="0" eb="2">
      <t>リョウリツ</t>
    </rPh>
    <phoneticPr fontId="28"/>
  </si>
  <si>
    <t>均等割</t>
    <rPh sb="0" eb="3">
      <t>キントウワ</t>
    </rPh>
    <phoneticPr fontId="28"/>
  </si>
  <si>
    <t>平等割</t>
    <rPh sb="0" eb="2">
      <t>ビョウドウ</t>
    </rPh>
    <rPh sb="2" eb="3">
      <t>ワ</t>
    </rPh>
    <phoneticPr fontId="28"/>
  </si>
  <si>
    <t>均等割半額人数</t>
    <rPh sb="0" eb="3">
      <t>キントウワ</t>
    </rPh>
    <rPh sb="3" eb="5">
      <t>ハンガク</t>
    </rPh>
    <rPh sb="5" eb="7">
      <t>ニンズウ</t>
    </rPh>
    <phoneticPr fontId="28"/>
  </si>
  <si>
    <t>（区分）</t>
    <rPh sb="1" eb="3">
      <t>クブン</t>
    </rPh>
    <phoneticPr fontId="28"/>
  </si>
  <si>
    <t>該当区分</t>
    <rPh sb="0" eb="2">
      <t>ガイトウ</t>
    </rPh>
    <rPh sb="2" eb="4">
      <t>クブン</t>
    </rPh>
    <phoneticPr fontId="28"/>
  </si>
  <si>
    <t>2減の場合</t>
    <rPh sb="1" eb="2">
      <t>ゲン</t>
    </rPh>
    <rPh sb="3" eb="5">
      <t>バアイ</t>
    </rPh>
    <phoneticPr fontId="28"/>
  </si>
  <si>
    <t>区分2</t>
    <rPh sb="0" eb="2">
      <t>クブン</t>
    </rPh>
    <phoneticPr fontId="28"/>
  </si>
  <si>
    <t>(区分2)</t>
    <rPh sb="1" eb="3">
      <t>クブン</t>
    </rPh>
    <phoneticPr fontId="28"/>
  </si>
  <si>
    <t>区分1</t>
    <rPh sb="0" eb="2">
      <t>クブン</t>
    </rPh>
    <phoneticPr fontId="28"/>
  </si>
  <si>
    <t>-</t>
    <phoneticPr fontId="28"/>
  </si>
  <si>
    <t>（旧国用）</t>
    <rPh sb="1" eb="2">
      <t>キュウ</t>
    </rPh>
    <rPh sb="2" eb="3">
      <t>クニ</t>
    </rPh>
    <rPh sb="3" eb="4">
      <t>ヨウ</t>
    </rPh>
    <phoneticPr fontId="28"/>
  </si>
  <si>
    <t>非自発的失業者</t>
    <rPh sb="0" eb="1">
      <t>ヒ</t>
    </rPh>
    <rPh sb="1" eb="3">
      <t>ジハツ</t>
    </rPh>
    <rPh sb="3" eb="4">
      <t>テキ</t>
    </rPh>
    <rPh sb="4" eb="7">
      <t>シツギョウシャ</t>
    </rPh>
    <phoneticPr fontId="2"/>
  </si>
  <si>
    <t>平等割1/2</t>
    <rPh sb="0" eb="2">
      <t>ビョウドウ</t>
    </rPh>
    <rPh sb="2" eb="3">
      <t>ワ</t>
    </rPh>
    <phoneticPr fontId="28"/>
  </si>
  <si>
    <t>の枠中の背景色が白色の箇所を選択・入力してください。</t>
    <rPh sb="4" eb="7">
      <t>ハイケイショク</t>
    </rPh>
    <rPh sb="8" eb="10">
      <t>シロイロ</t>
    </rPh>
    <rPh sb="11" eb="13">
      <t>カショ</t>
    </rPh>
    <rPh sb="14" eb="16">
      <t>センタク</t>
    </rPh>
    <phoneticPr fontId="1"/>
  </si>
  <si>
    <t>+</t>
    <phoneticPr fontId="1"/>
  </si>
  <si>
    <t>+</t>
    <phoneticPr fontId="1"/>
  </si>
  <si>
    <t>⇒</t>
    <phoneticPr fontId="1"/>
  </si>
  <si>
    <t>年齢区分</t>
    <rPh sb="0" eb="2">
      <t>ネンレイ</t>
    </rPh>
    <rPh sb="2" eb="4">
      <t>クブン</t>
    </rPh>
    <phoneticPr fontId="28"/>
  </si>
  <si>
    <t>非自発</t>
    <rPh sb="0" eb="1">
      <t>ヒ</t>
    </rPh>
    <rPh sb="1" eb="3">
      <t>ジハツ</t>
    </rPh>
    <phoneticPr fontId="28"/>
  </si>
  <si>
    <t>１　入力項目の説明</t>
    <rPh sb="2" eb="4">
      <t>ニュウリョク</t>
    </rPh>
    <rPh sb="4" eb="6">
      <t>コウモク</t>
    </rPh>
    <rPh sb="7" eb="9">
      <t>セツメイ</t>
    </rPh>
    <phoneticPr fontId="28"/>
  </si>
  <si>
    <t>軽減調整</t>
    <rPh sb="0" eb="2">
      <t>ケイゲン</t>
    </rPh>
    <rPh sb="2" eb="4">
      <t>チョウセイ</t>
    </rPh>
    <phoneticPr fontId="28"/>
  </si>
  <si>
    <t>R3年度～</t>
    <rPh sb="2" eb="4">
      <t>ネンド</t>
    </rPh>
    <phoneticPr fontId="2"/>
  </si>
  <si>
    <t>年金以外の所得の合計額区分</t>
    <rPh sb="0" eb="4">
      <t>ネンキンイガイ</t>
    </rPh>
    <rPh sb="5" eb="7">
      <t>ショトク</t>
    </rPh>
    <rPh sb="8" eb="10">
      <t>ゴウケイ</t>
    </rPh>
    <rPh sb="10" eb="11">
      <t>ガク</t>
    </rPh>
    <rPh sb="11" eb="13">
      <t>クブン</t>
    </rPh>
    <phoneticPr fontId="28"/>
  </si>
  <si>
    <t>６５歳未満</t>
    <phoneticPr fontId="28"/>
  </si>
  <si>
    <t>年金収入</t>
    <rPh sb="0" eb="2">
      <t>ネンキン</t>
    </rPh>
    <rPh sb="2" eb="4">
      <t>シュウニュウ</t>
    </rPh>
    <phoneticPr fontId="2"/>
  </si>
  <si>
    <t>年金収入</t>
    <rPh sb="0" eb="2">
      <t>ネンキン</t>
    </rPh>
    <rPh sb="2" eb="4">
      <t>シュウニュウ</t>
    </rPh>
    <phoneticPr fontId="28"/>
  </si>
  <si>
    <t>～1,000万円</t>
    <rPh sb="6" eb="8">
      <t>マンエン</t>
    </rPh>
    <phoneticPr fontId="28"/>
  </si>
  <si>
    <t>～2,000万円</t>
    <rPh sb="6" eb="8">
      <t>マンエン</t>
    </rPh>
    <phoneticPr fontId="28"/>
  </si>
  <si>
    <t>2,000万円超</t>
    <rPh sb="5" eb="7">
      <t>マンエン</t>
    </rPh>
    <rPh sb="7" eb="8">
      <t>チョウ</t>
    </rPh>
    <phoneticPr fontId="28"/>
  </si>
  <si>
    <t>公的年金一定額超</t>
    <rPh sb="0" eb="2">
      <t>コウテキ</t>
    </rPh>
    <rPh sb="2" eb="4">
      <t>ネンキン</t>
    </rPh>
    <rPh sb="4" eb="6">
      <t>イッテイ</t>
    </rPh>
    <rPh sb="6" eb="7">
      <t>ガク</t>
    </rPh>
    <rPh sb="7" eb="8">
      <t>チョウ</t>
    </rPh>
    <phoneticPr fontId="28"/>
  </si>
  <si>
    <t>基礎控除額</t>
    <rPh sb="0" eb="2">
      <t>キソ</t>
    </rPh>
    <rPh sb="2" eb="4">
      <t>コウジョ</t>
    </rPh>
    <rPh sb="4" eb="5">
      <t>ガク</t>
    </rPh>
    <phoneticPr fontId="28"/>
  </si>
  <si>
    <t>０歳から39歳まで</t>
    <rPh sb="1" eb="2">
      <t>サイ</t>
    </rPh>
    <rPh sb="6" eb="7">
      <t>サイ</t>
    </rPh>
    <phoneticPr fontId="1"/>
  </si>
  <si>
    <t>40歳から64歳まで</t>
    <rPh sb="2" eb="3">
      <t>サイ</t>
    </rPh>
    <rPh sb="7" eb="8">
      <t>サイ</t>
    </rPh>
    <phoneticPr fontId="1"/>
  </si>
  <si>
    <t>65歳から74歳まで</t>
    <rPh sb="2" eb="3">
      <t>サイ</t>
    </rPh>
    <rPh sb="7" eb="8">
      <t>サイ</t>
    </rPh>
    <phoneticPr fontId="1"/>
  </si>
  <si>
    <r>
      <t>③公的年金</t>
    </r>
    <r>
      <rPr>
        <b/>
        <sz val="9"/>
        <color rgb="FFFF0000"/>
        <rFont val="ＭＳ Ｐゴシック"/>
        <family val="3"/>
        <charset val="128"/>
      </rPr>
      <t>収入</t>
    </r>
    <rPh sb="1" eb="3">
      <t>コウテキ</t>
    </rPh>
    <phoneticPr fontId="1"/>
  </si>
  <si>
    <r>
      <t>②給与</t>
    </r>
    <r>
      <rPr>
        <b/>
        <sz val="9"/>
        <color rgb="FFFF0000"/>
        <rFont val="ＭＳ Ｐゴシック"/>
        <family val="3"/>
        <charset val="128"/>
      </rPr>
      <t>収入</t>
    </r>
    <phoneticPr fontId="1"/>
  </si>
  <si>
    <t>（下段：賦課基準額）</t>
    <rPh sb="1" eb="3">
      <t>ゲダン</t>
    </rPh>
    <rPh sb="4" eb="6">
      <t>フカ</t>
    </rPh>
    <rPh sb="6" eb="8">
      <t>キジュン</t>
    </rPh>
    <rPh sb="8" eb="9">
      <t>ガク</t>
    </rPh>
    <phoneticPr fontId="1"/>
  </si>
  <si>
    <t>(下段：A給与所得)</t>
    <rPh sb="1" eb="3">
      <t>ゲダン</t>
    </rPh>
    <rPh sb="5" eb="7">
      <t>キュウヨ</t>
    </rPh>
    <rPh sb="7" eb="9">
      <t>ショトク</t>
    </rPh>
    <phoneticPr fontId="1"/>
  </si>
  <si>
    <t>（下段：B年金所得）</t>
    <rPh sb="1" eb="3">
      <t>ゲダン</t>
    </rPh>
    <rPh sb="5" eb="7">
      <t>ネンキン</t>
    </rPh>
    <rPh sb="7" eb="9">
      <t>ショトク</t>
    </rPh>
    <phoneticPr fontId="1"/>
  </si>
  <si>
    <t>（下段：Cその他の所得）</t>
    <rPh sb="1" eb="3">
      <t>ゲダン</t>
    </rPh>
    <rPh sb="7" eb="8">
      <t>タ</t>
    </rPh>
    <rPh sb="9" eb="11">
      <t>ショトク</t>
    </rPh>
    <phoneticPr fontId="1"/>
  </si>
  <si>
    <t>総所得金額等
(A+B+C）（※１）</t>
    <rPh sb="0" eb="3">
      <t>ソウショトク</t>
    </rPh>
    <rPh sb="3" eb="5">
      <t>キンガク</t>
    </rPh>
    <rPh sb="5" eb="6">
      <t>トウ</t>
    </rPh>
    <phoneticPr fontId="1"/>
  </si>
  <si>
    <t>◎条件を入力いただきましたら、「計算」シートに試算の結果が表示されます。</t>
    <rPh sb="1" eb="3">
      <t>ジョウケン</t>
    </rPh>
    <rPh sb="4" eb="6">
      <t>ニュウリョク</t>
    </rPh>
    <rPh sb="16" eb="18">
      <t>ケイサン</t>
    </rPh>
    <rPh sb="23" eb="25">
      <t>シサン</t>
    </rPh>
    <rPh sb="26" eb="28">
      <t>ケッカ</t>
    </rPh>
    <rPh sb="29" eb="31">
      <t>ヒョウジ</t>
    </rPh>
    <phoneticPr fontId="28"/>
  </si>
  <si>
    <t>①年齢区分</t>
    <rPh sb="1" eb="3">
      <t>ネンレイ</t>
    </rPh>
    <rPh sb="3" eb="5">
      <t>クブン</t>
    </rPh>
    <phoneticPr fontId="28"/>
  </si>
  <si>
    <t>２　注意事項</t>
    <rPh sb="2" eb="4">
      <t>チュウイ</t>
    </rPh>
    <rPh sb="4" eb="6">
      <t>ジコウ</t>
    </rPh>
    <phoneticPr fontId="28"/>
  </si>
  <si>
    <t>　国民健康保険に加入する人の年齢区分を「0歳から39歳まで」、「40歳から64歳まで」、「65歳から74歳まで」の中から選択してください。
　なお、世帯主が他の医療保険制度（勤務先の健康保険や後期高齢者医療など）に加入されている場合、世帯主の年齢区分は「加入しない」を選択してください。</t>
    <rPh sb="1" eb="3">
      <t>コクミン</t>
    </rPh>
    <rPh sb="3" eb="5">
      <t>ケンコウ</t>
    </rPh>
    <rPh sb="5" eb="7">
      <t>ホケン</t>
    </rPh>
    <rPh sb="8" eb="10">
      <t>カニュウ</t>
    </rPh>
    <rPh sb="12" eb="13">
      <t>ヒト</t>
    </rPh>
    <rPh sb="14" eb="16">
      <t>ネンレイ</t>
    </rPh>
    <rPh sb="16" eb="18">
      <t>クブン</t>
    </rPh>
    <rPh sb="21" eb="22">
      <t>サイ</t>
    </rPh>
    <rPh sb="26" eb="27">
      <t>サイ</t>
    </rPh>
    <rPh sb="34" eb="35">
      <t>サイ</t>
    </rPh>
    <rPh sb="39" eb="40">
      <t>サイ</t>
    </rPh>
    <rPh sb="47" eb="48">
      <t>サイ</t>
    </rPh>
    <rPh sb="52" eb="53">
      <t>サイ</t>
    </rPh>
    <rPh sb="57" eb="58">
      <t>ナカ</t>
    </rPh>
    <rPh sb="60" eb="62">
      <t>センタク</t>
    </rPh>
    <rPh sb="74" eb="77">
      <t>セタイヌシ</t>
    </rPh>
    <rPh sb="78" eb="79">
      <t>タ</t>
    </rPh>
    <rPh sb="80" eb="82">
      <t>イリョウ</t>
    </rPh>
    <rPh sb="82" eb="84">
      <t>ホケン</t>
    </rPh>
    <rPh sb="84" eb="86">
      <t>セイド</t>
    </rPh>
    <rPh sb="87" eb="90">
      <t>キンムサキ</t>
    </rPh>
    <rPh sb="91" eb="93">
      <t>ケンコウ</t>
    </rPh>
    <rPh sb="93" eb="95">
      <t>ホケン</t>
    </rPh>
    <rPh sb="96" eb="98">
      <t>コウキ</t>
    </rPh>
    <rPh sb="98" eb="101">
      <t>コウレイシャ</t>
    </rPh>
    <rPh sb="101" eb="103">
      <t>イリョウ</t>
    </rPh>
    <rPh sb="107" eb="109">
      <t>カニュウ</t>
    </rPh>
    <rPh sb="114" eb="116">
      <t>バアイ</t>
    </rPh>
    <rPh sb="117" eb="120">
      <t>セタイヌシ</t>
    </rPh>
    <rPh sb="121" eb="123">
      <t>ネンレイ</t>
    </rPh>
    <rPh sb="123" eb="125">
      <t>クブン</t>
    </rPh>
    <rPh sb="127" eb="129">
      <t>カニュウ</t>
    </rPh>
    <rPh sb="134" eb="136">
      <t>センタク</t>
    </rPh>
    <phoneticPr fontId="28"/>
  </si>
  <si>
    <t>４３万円</t>
    <phoneticPr fontId="28"/>
  </si>
  <si>
    <t>＋｛１０万円×（給与所得者等の数－１）｝</t>
    <phoneticPr fontId="28"/>
  </si>
  <si>
    <t>未使用</t>
    <rPh sb="0" eb="3">
      <t>ミシヨウ</t>
    </rPh>
    <phoneticPr fontId="28"/>
  </si>
  <si>
    <t>軽減設定</t>
    <rPh sb="0" eb="2">
      <t>ケイゲン</t>
    </rPh>
    <rPh sb="2" eb="4">
      <t>セッテイ</t>
    </rPh>
    <phoneticPr fontId="28"/>
  </si>
  <si>
    <t>人数設定（所得なしのみ）</t>
    <rPh sb="0" eb="2">
      <t>ニンズウ</t>
    </rPh>
    <rPh sb="2" eb="4">
      <t>セッテイ</t>
    </rPh>
    <rPh sb="5" eb="7">
      <t>ショトク</t>
    </rPh>
    <phoneticPr fontId="28"/>
  </si>
  <si>
    <t>旧国（平等割 1/2 or 3/4）</t>
    <rPh sb="0" eb="1">
      <t>キュウ</t>
    </rPh>
    <rPh sb="1" eb="2">
      <t>コク</t>
    </rPh>
    <rPh sb="3" eb="5">
      <t>ビョウドウ</t>
    </rPh>
    <rPh sb="5" eb="6">
      <t>ワ</t>
    </rPh>
    <phoneticPr fontId="28"/>
  </si>
  <si>
    <t>旧被扶養者(均等割　1/2)</t>
    <rPh sb="0" eb="1">
      <t>キュウ</t>
    </rPh>
    <rPh sb="1" eb="5">
      <t>ヒフヨウシャ</t>
    </rPh>
    <rPh sb="6" eb="9">
      <t>キントウワ</t>
    </rPh>
    <phoneticPr fontId="28"/>
  </si>
  <si>
    <t>◎この試算シートでは、おおよその年間保険料と１か月あたりの月額保険料の試算ができます。</t>
    <rPh sb="3" eb="5">
      <t>シサン</t>
    </rPh>
    <rPh sb="16" eb="18">
      <t>ネンカン</t>
    </rPh>
    <rPh sb="18" eb="21">
      <t>ホケンリョウ</t>
    </rPh>
    <rPh sb="24" eb="25">
      <t>ゲツ</t>
    </rPh>
    <rPh sb="29" eb="31">
      <t>ゲツガク</t>
    </rPh>
    <rPh sb="31" eb="34">
      <t>ホケンリョウ</t>
    </rPh>
    <rPh sb="35" eb="37">
      <t>シサン</t>
    </rPh>
    <phoneticPr fontId="28"/>
  </si>
  <si>
    <t>◎以下の「入力項目の説明」と「注意事項」をご確認いただき、「計算」シートに入力してください。</t>
    <rPh sb="1" eb="3">
      <t>イカ</t>
    </rPh>
    <rPh sb="5" eb="7">
      <t>ニュウリョク</t>
    </rPh>
    <rPh sb="7" eb="9">
      <t>コウモク</t>
    </rPh>
    <rPh sb="10" eb="12">
      <t>セツメイ</t>
    </rPh>
    <rPh sb="15" eb="17">
      <t>チュウイ</t>
    </rPh>
    <rPh sb="17" eb="19">
      <t>ジコウ</t>
    </rPh>
    <rPh sb="22" eb="24">
      <t>カクニン</t>
    </rPh>
    <rPh sb="30" eb="32">
      <t>ケイサン</t>
    </rPh>
    <rPh sb="37" eb="39">
      <t>ニュウリョク</t>
    </rPh>
    <phoneticPr fontId="28"/>
  </si>
  <si>
    <t>所得金額調整控除（ア）</t>
    <rPh sb="0" eb="2">
      <t>ショトク</t>
    </rPh>
    <rPh sb="2" eb="4">
      <t>キンガク</t>
    </rPh>
    <rPh sb="4" eb="6">
      <t>チョウセイ</t>
    </rPh>
    <rPh sb="6" eb="8">
      <t>コウジョ</t>
    </rPh>
    <phoneticPr fontId="28"/>
  </si>
  <si>
    <t>所得金額調整控除（イ）</t>
    <rPh sb="0" eb="2">
      <t>ショトク</t>
    </rPh>
    <rPh sb="2" eb="4">
      <t>キンガク</t>
    </rPh>
    <rPh sb="4" eb="6">
      <t>チョウセイ</t>
    </rPh>
    <rPh sb="6" eb="8">
      <t>コウジョ</t>
    </rPh>
    <phoneticPr fontId="28"/>
  </si>
  <si>
    <t>所得金額調整控除額（ア）</t>
    <rPh sb="0" eb="2">
      <t>ショトク</t>
    </rPh>
    <rPh sb="2" eb="4">
      <t>キンガク</t>
    </rPh>
    <rPh sb="4" eb="6">
      <t>チョウセイ</t>
    </rPh>
    <rPh sb="6" eb="8">
      <t>コウジョ</t>
    </rPh>
    <rPh sb="8" eb="9">
      <t>ガク</t>
    </rPh>
    <phoneticPr fontId="28"/>
  </si>
  <si>
    <t>※所得（特定支出等の場合）</t>
    <rPh sb="1" eb="3">
      <t>ショトク</t>
    </rPh>
    <rPh sb="4" eb="6">
      <t>トクテイ</t>
    </rPh>
    <rPh sb="6" eb="8">
      <t>シシュツ</t>
    </rPh>
    <rPh sb="8" eb="9">
      <t>トウ</t>
    </rPh>
    <rPh sb="10" eb="12">
      <t>バアイ</t>
    </rPh>
    <phoneticPr fontId="28"/>
  </si>
  <si>
    <t>年齢</t>
    <rPh sb="0" eb="2">
      <t>ネンレイ</t>
    </rPh>
    <phoneticPr fontId="28"/>
  </si>
  <si>
    <t>世帯主</t>
    <rPh sb="0" eb="3">
      <t>セタイヌシ</t>
    </rPh>
    <phoneticPr fontId="28"/>
  </si>
  <si>
    <t>加入者１</t>
    <rPh sb="0" eb="3">
      <t>カニュウシャ</t>
    </rPh>
    <phoneticPr fontId="28"/>
  </si>
  <si>
    <t>加入者２</t>
    <rPh sb="0" eb="3">
      <t>カニュウシャ</t>
    </rPh>
    <phoneticPr fontId="28"/>
  </si>
  <si>
    <t>加入者３</t>
    <rPh sb="0" eb="3">
      <t>カニュウシャ</t>
    </rPh>
    <phoneticPr fontId="28"/>
  </si>
  <si>
    <t>加入者４</t>
    <rPh sb="0" eb="3">
      <t>カニュウシャ</t>
    </rPh>
    <phoneticPr fontId="28"/>
  </si>
  <si>
    <t>加入者５</t>
    <rPh sb="0" eb="3">
      <t>カニュウシャ</t>
    </rPh>
    <phoneticPr fontId="28"/>
  </si>
  <si>
    <t>当該年の1/2時点の年齢</t>
    <rPh sb="0" eb="2">
      <t>トウガイ</t>
    </rPh>
    <rPh sb="2" eb="3">
      <t>ネン</t>
    </rPh>
    <rPh sb="7" eb="9">
      <t>ジテン</t>
    </rPh>
    <rPh sb="10" eb="12">
      <t>ネンレイ</t>
    </rPh>
    <phoneticPr fontId="28"/>
  </si>
  <si>
    <t>年金基準日</t>
    <rPh sb="0" eb="2">
      <t>ネンキン</t>
    </rPh>
    <rPh sb="2" eb="5">
      <t>キジュンビ</t>
    </rPh>
    <phoneticPr fontId="28"/>
  </si>
  <si>
    <t>←から導出した年齢区分</t>
    <rPh sb="3" eb="5">
      <t>ドウシュツ</t>
    </rPh>
    <rPh sb="7" eb="9">
      <t>ネンレイ</t>
    </rPh>
    <rPh sb="9" eb="11">
      <t>クブン</t>
    </rPh>
    <phoneticPr fontId="28"/>
  </si>
  <si>
    <t>基準日</t>
    <rPh sb="0" eb="3">
      <t>キジュンビ</t>
    </rPh>
    <phoneticPr fontId="28"/>
  </si>
  <si>
    <t>基準日時点の年齢</t>
    <rPh sb="0" eb="3">
      <t>キジュンビ</t>
    </rPh>
    <rPh sb="3" eb="5">
      <t>ジテン</t>
    </rPh>
    <rPh sb="6" eb="8">
      <t>ネンレイ</t>
    </rPh>
    <phoneticPr fontId="28"/>
  </si>
  <si>
    <t>年齢区分</t>
    <rPh sb="0" eb="2">
      <t>ネンレイ</t>
    </rPh>
    <rPh sb="2" eb="4">
      <t>クブン</t>
    </rPh>
    <phoneticPr fontId="28"/>
  </si>
  <si>
    <t>旧被扶所得割減免</t>
    <rPh sb="0" eb="1">
      <t>キュウ</t>
    </rPh>
    <rPh sb="1" eb="2">
      <t>ヒ</t>
    </rPh>
    <rPh sb="2" eb="3">
      <t>フ</t>
    </rPh>
    <rPh sb="3" eb="5">
      <t>ショトク</t>
    </rPh>
    <rPh sb="5" eb="6">
      <t>ワリ</t>
    </rPh>
    <rPh sb="6" eb="8">
      <t>ゲンメン</t>
    </rPh>
    <phoneticPr fontId="28"/>
  </si>
  <si>
    <t>第1期</t>
    <rPh sb="0" eb="1">
      <t>ダイ</t>
    </rPh>
    <rPh sb="2" eb="3">
      <t>キ</t>
    </rPh>
    <phoneticPr fontId="35"/>
  </si>
  <si>
    <t>第2期</t>
    <rPh sb="0" eb="1">
      <t>ダイ</t>
    </rPh>
    <rPh sb="2" eb="3">
      <t>キ</t>
    </rPh>
    <phoneticPr fontId="35"/>
  </si>
  <si>
    <t>第3期</t>
    <rPh sb="0" eb="1">
      <t>ダイ</t>
    </rPh>
    <rPh sb="2" eb="3">
      <t>キ</t>
    </rPh>
    <phoneticPr fontId="35"/>
  </si>
  <si>
    <t>第4期</t>
    <rPh sb="0" eb="1">
      <t>ダイ</t>
    </rPh>
    <rPh sb="2" eb="3">
      <t>キ</t>
    </rPh>
    <phoneticPr fontId="35"/>
  </si>
  <si>
    <t>第5期</t>
    <rPh sb="0" eb="1">
      <t>ダイ</t>
    </rPh>
    <rPh sb="2" eb="3">
      <t>キ</t>
    </rPh>
    <phoneticPr fontId="35"/>
  </si>
  <si>
    <t>第6期</t>
    <rPh sb="0" eb="1">
      <t>ダイ</t>
    </rPh>
    <rPh sb="2" eb="3">
      <t>キ</t>
    </rPh>
    <phoneticPr fontId="35"/>
  </si>
  <si>
    <t>第7期</t>
    <rPh sb="0" eb="1">
      <t>ダイ</t>
    </rPh>
    <rPh sb="2" eb="3">
      <t>キ</t>
    </rPh>
    <phoneticPr fontId="35"/>
  </si>
  <si>
    <t>第8期</t>
    <rPh sb="0" eb="1">
      <t>ダイ</t>
    </rPh>
    <rPh sb="2" eb="3">
      <t>キ</t>
    </rPh>
    <phoneticPr fontId="35"/>
  </si>
  <si>
    <t>第9期</t>
    <rPh sb="0" eb="1">
      <t>ダイ</t>
    </rPh>
    <rPh sb="2" eb="3">
      <t>キ</t>
    </rPh>
    <phoneticPr fontId="35"/>
  </si>
  <si>
    <t>第10期</t>
    <rPh sb="0" eb="1">
      <t>ダイ</t>
    </rPh>
    <rPh sb="3" eb="4">
      <t>キ</t>
    </rPh>
    <phoneticPr fontId="35"/>
  </si>
  <si>
    <t>過〇期</t>
    <phoneticPr fontId="35"/>
  </si>
  <si>
    <t>計</t>
    <rPh sb="0" eb="1">
      <t>ケイ</t>
    </rPh>
    <phoneticPr fontId="35"/>
  </si>
  <si>
    <t>賦課額</t>
    <rPh sb="0" eb="3">
      <t>フカガク</t>
    </rPh>
    <phoneticPr fontId="35"/>
  </si>
  <si>
    <t>開始期別</t>
    <rPh sb="0" eb="2">
      <t>カイシ</t>
    </rPh>
    <rPh sb="2" eb="3">
      <t>キ</t>
    </rPh>
    <rPh sb="3" eb="4">
      <t>ベツ</t>
    </rPh>
    <phoneticPr fontId="35"/>
  </si>
  <si>
    <t>前</t>
    <rPh sb="0" eb="1">
      <t>マエ</t>
    </rPh>
    <phoneticPr fontId="35"/>
  </si>
  <si>
    <t>後</t>
    <rPh sb="0" eb="1">
      <t>アト</t>
    </rPh>
    <phoneticPr fontId="35"/>
  </si>
  <si>
    <t>年金区分判別方法</t>
    <rPh sb="0" eb="2">
      <t>ネンキン</t>
    </rPh>
    <rPh sb="2" eb="4">
      <t>クブン</t>
    </rPh>
    <rPh sb="4" eb="6">
      <t>ハンベツ</t>
    </rPh>
    <rPh sb="6" eb="8">
      <t>ホウホウ</t>
    </rPh>
    <phoneticPr fontId="28"/>
  </si>
  <si>
    <t>65歳以上強制</t>
    <rPh sb="5" eb="7">
      <t>キョウセイ</t>
    </rPh>
    <phoneticPr fontId="28"/>
  </si>
  <si>
    <t>1月1日65歳以上→1</t>
    <rPh sb="1" eb="2">
      <t>ガツ</t>
    </rPh>
    <rPh sb="3" eb="4">
      <t>ニチ</t>
    </rPh>
    <rPh sb="6" eb="7">
      <t>サイ</t>
    </rPh>
    <rPh sb="7" eb="9">
      <t>イジョウ</t>
    </rPh>
    <phoneticPr fontId="28"/>
  </si>
  <si>
    <t>年金以外の所得の合計額前</t>
    <rPh sb="0" eb="2">
      <t>ネンキン</t>
    </rPh>
    <rPh sb="2" eb="4">
      <t>イガイ</t>
    </rPh>
    <rPh sb="5" eb="7">
      <t>ショトク</t>
    </rPh>
    <rPh sb="8" eb="10">
      <t>ゴウケイ</t>
    </rPh>
    <rPh sb="10" eb="11">
      <t>ガク</t>
    </rPh>
    <rPh sb="11" eb="12">
      <t>マエ</t>
    </rPh>
    <phoneticPr fontId="28"/>
  </si>
  <si>
    <t>給与所得者等の計</t>
    <rPh sb="0" eb="2">
      <t>キュウヨ</t>
    </rPh>
    <rPh sb="2" eb="4">
      <t>ショトク</t>
    </rPh>
    <rPh sb="4" eb="5">
      <t>シャ</t>
    </rPh>
    <rPh sb="5" eb="6">
      <t>トウ</t>
    </rPh>
    <rPh sb="7" eb="8">
      <t>ケイ</t>
    </rPh>
    <phoneticPr fontId="28"/>
  </si>
  <si>
    <t>給与所得者等</t>
    <rPh sb="0" eb="2">
      <t>キュウヨ</t>
    </rPh>
    <rPh sb="2" eb="4">
      <t>ショトク</t>
    </rPh>
    <rPh sb="4" eb="5">
      <t>シャ</t>
    </rPh>
    <rPh sb="5" eb="6">
      <t>トウ</t>
    </rPh>
    <phoneticPr fontId="28"/>
  </si>
  <si>
    <t>予備</t>
    <rPh sb="0" eb="2">
      <t>ヨビ</t>
    </rPh>
    <phoneticPr fontId="28"/>
  </si>
  <si>
    <t>-</t>
    <phoneticPr fontId="28"/>
  </si>
  <si>
    <t>-</t>
    <phoneticPr fontId="28"/>
  </si>
  <si>
    <t>軽減基準</t>
    <rPh sb="0" eb="2">
      <t>ケイゲン</t>
    </rPh>
    <rPh sb="2" eb="4">
      <t>キジュン</t>
    </rPh>
    <phoneticPr fontId="28"/>
  </si>
  <si>
    <t>番号</t>
    <rPh sb="0" eb="2">
      <t>バンゴウ</t>
    </rPh>
    <phoneticPr fontId="28"/>
  </si>
  <si>
    <r>
      <t>④その他の</t>
    </r>
    <r>
      <rPr>
        <b/>
        <sz val="9"/>
        <color rgb="FF0894EA"/>
        <rFont val="ＭＳ Ｐゴシック"/>
        <family val="3"/>
        <charset val="128"/>
      </rPr>
      <t>所得</t>
    </r>
    <phoneticPr fontId="1"/>
  </si>
  <si>
    <r>
      <t>②給与</t>
    </r>
    <r>
      <rPr>
        <u val="double"/>
        <sz val="11"/>
        <color rgb="FFFF0000"/>
        <rFont val="ＭＳ Ｐゴシック"/>
        <family val="3"/>
        <charset val="128"/>
        <scheme val="minor"/>
      </rPr>
      <t>収入</t>
    </r>
    <rPh sb="1" eb="3">
      <t>キュウヨ</t>
    </rPh>
    <rPh sb="3" eb="5">
      <t>シュウニュウ</t>
    </rPh>
    <phoneticPr fontId="28"/>
  </si>
  <si>
    <r>
      <t>③公的年金</t>
    </r>
    <r>
      <rPr>
        <u val="double"/>
        <sz val="11"/>
        <color rgb="FFFF0000"/>
        <rFont val="ＭＳ Ｐゴシック"/>
        <family val="3"/>
        <charset val="128"/>
        <scheme val="minor"/>
      </rPr>
      <t>収入</t>
    </r>
    <rPh sb="1" eb="3">
      <t>コウテキ</t>
    </rPh>
    <rPh sb="3" eb="5">
      <t>ネンキン</t>
    </rPh>
    <rPh sb="5" eb="7">
      <t>シュウニュウ</t>
    </rPh>
    <phoneticPr fontId="28"/>
  </si>
  <si>
    <r>
      <t>④その他の</t>
    </r>
    <r>
      <rPr>
        <u val="double"/>
        <sz val="11"/>
        <color rgb="FF0894EA"/>
        <rFont val="ＭＳ Ｐゴシック"/>
        <family val="3"/>
        <charset val="128"/>
        <scheme val="minor"/>
      </rPr>
      <t>所得</t>
    </r>
    <rPh sb="3" eb="4">
      <t>タ</t>
    </rPh>
    <rPh sb="5" eb="7">
      <t>ショトク</t>
    </rPh>
    <phoneticPr fontId="28"/>
  </si>
  <si>
    <t>給与所得
（調整控除前）</t>
    <rPh sb="0" eb="2">
      <t>キュウヨ</t>
    </rPh>
    <rPh sb="2" eb="4">
      <t>ショトク</t>
    </rPh>
    <rPh sb="6" eb="8">
      <t>チョウセイ</t>
    </rPh>
    <rPh sb="8" eb="10">
      <t>コウジョ</t>
    </rPh>
    <rPh sb="10" eb="11">
      <t>マエ</t>
    </rPh>
    <phoneticPr fontId="28"/>
  </si>
  <si>
    <t>給与所得
（調整控除後）</t>
    <rPh sb="0" eb="2">
      <t>キュウヨ</t>
    </rPh>
    <rPh sb="2" eb="4">
      <t>ショトク</t>
    </rPh>
    <rPh sb="6" eb="8">
      <t>チョウセイ</t>
    </rPh>
    <rPh sb="8" eb="10">
      <t>コウジョ</t>
    </rPh>
    <rPh sb="10" eb="11">
      <t>ゴ</t>
    </rPh>
    <phoneticPr fontId="28"/>
  </si>
  <si>
    <t>軽減判定用年金所得</t>
    <rPh sb="0" eb="4">
      <t>ケイゲンハンテイ</t>
    </rPh>
    <rPh sb="4" eb="5">
      <t>ヨウ</t>
    </rPh>
    <rPh sb="5" eb="9">
      <t>ネンキンショトク</t>
    </rPh>
    <phoneticPr fontId="28"/>
  </si>
  <si>
    <t>所得金額調整控除（イ）_軽減</t>
    <rPh sb="0" eb="2">
      <t>ショトク</t>
    </rPh>
    <rPh sb="2" eb="4">
      <t>キンガク</t>
    </rPh>
    <rPh sb="4" eb="6">
      <t>チョウセイ</t>
    </rPh>
    <rPh sb="6" eb="8">
      <t>コウジョ</t>
    </rPh>
    <rPh sb="12" eb="14">
      <t>ケイゲン</t>
    </rPh>
    <phoneticPr fontId="28"/>
  </si>
  <si>
    <t>給与所得
（調整控除後）_軽減</t>
    <rPh sb="0" eb="2">
      <t>キュウヨ</t>
    </rPh>
    <rPh sb="2" eb="4">
      <t>ショトク</t>
    </rPh>
    <rPh sb="6" eb="8">
      <t>チョウセイ</t>
    </rPh>
    <rPh sb="8" eb="10">
      <t>コウジョ</t>
    </rPh>
    <rPh sb="10" eb="11">
      <t>ゴ</t>
    </rPh>
    <rPh sb="13" eb="15">
      <t>ケイゲン</t>
    </rPh>
    <phoneticPr fontId="28"/>
  </si>
  <si>
    <t>自動</t>
    <phoneticPr fontId="28"/>
  </si>
  <si>
    <t>年齢区分</t>
  </si>
  <si>
    <t>加入しない</t>
    <rPh sb="0" eb="2">
      <t>カニュウ</t>
    </rPh>
    <phoneticPr fontId="1"/>
  </si>
  <si>
    <r>
      <rPr>
        <sz val="10"/>
        <rFont val="ＭＳ Ｐゴシック"/>
        <family val="3"/>
        <charset val="128"/>
        <scheme val="minor"/>
      </rPr>
      <t>　 この試算シートでは、おおよその年間保険料と１か月あたりの月額保険料の試算ができます。</t>
    </r>
    <r>
      <rPr>
        <b/>
        <sz val="11"/>
        <color rgb="FFFF0000"/>
        <rFont val="ＭＳ Ｐゴシック"/>
        <family val="3"/>
        <charset val="128"/>
        <scheme val="minor"/>
      </rPr>
      <t xml:space="preserve">
　</t>
    </r>
    <r>
      <rPr>
        <sz val="10"/>
        <rFont val="ＭＳ Ｐゴシック"/>
        <family val="3"/>
        <charset val="128"/>
        <scheme val="minor"/>
      </rPr>
      <t>保険料の月割計算等には対応していません。(右下の注意事項を参照してください。)</t>
    </r>
    <rPh sb="67" eb="68">
      <t>ミギ</t>
    </rPh>
    <rPh sb="68" eb="69">
      <t>シタ</t>
    </rPh>
    <rPh sb="70" eb="72">
      <t>チュウイ</t>
    </rPh>
    <rPh sb="72" eb="74">
      <t>ジコウ</t>
    </rPh>
    <rPh sb="75" eb="77">
      <t>サンショウ</t>
    </rPh>
    <phoneticPr fontId="1"/>
  </si>
  <si>
    <t>加入しない(65歳以上)</t>
    <rPh sb="0" eb="2">
      <t>カニュウ</t>
    </rPh>
    <rPh sb="8" eb="11">
      <t>サイイジョウ</t>
    </rPh>
    <phoneticPr fontId="28"/>
  </si>
  <si>
    <t>※②～④は、世帯主が国民健康保険に加入されない場合でも、世帯主の収入額等を入力してください（国民健康保険に加入されない世帯員の方は入力不要です。）。</t>
    <rPh sb="6" eb="9">
      <t>セタイヌシ</t>
    </rPh>
    <rPh sb="10" eb="16">
      <t>コクミンケンコウホケン</t>
    </rPh>
    <rPh sb="17" eb="19">
      <t>カニュウ</t>
    </rPh>
    <rPh sb="23" eb="25">
      <t>バアイ</t>
    </rPh>
    <rPh sb="28" eb="31">
      <t>セタイヌシ</t>
    </rPh>
    <rPh sb="32" eb="34">
      <t>シュウニュウ</t>
    </rPh>
    <rPh sb="34" eb="35">
      <t>ガク</t>
    </rPh>
    <rPh sb="35" eb="36">
      <t>トウ</t>
    </rPh>
    <rPh sb="37" eb="39">
      <t>ニュウリョク</t>
    </rPh>
    <rPh sb="46" eb="48">
      <t>コクミン</t>
    </rPh>
    <rPh sb="48" eb="50">
      <t>ケンコウ</t>
    </rPh>
    <rPh sb="50" eb="52">
      <t>ホケン</t>
    </rPh>
    <rPh sb="53" eb="55">
      <t>カニュウ</t>
    </rPh>
    <rPh sb="59" eb="62">
      <t>セタイイン</t>
    </rPh>
    <rPh sb="63" eb="64">
      <t>カタ</t>
    </rPh>
    <rPh sb="65" eb="67">
      <t>ニュウリョク</t>
    </rPh>
    <rPh sb="67" eb="69">
      <t>フヨウ</t>
    </rPh>
    <phoneticPr fontId="28"/>
  </si>
  <si>
    <t>自動</t>
  </si>
  <si>
    <t>未就学児</t>
    <rPh sb="0" eb="4">
      <t>ミシュウガクジ</t>
    </rPh>
    <phoneticPr fontId="28"/>
  </si>
  <si>
    <t>医療分</t>
    <rPh sb="0" eb="3">
      <t>イリョウブン</t>
    </rPh>
    <phoneticPr fontId="28"/>
  </si>
  <si>
    <t>支援分</t>
    <rPh sb="0" eb="3">
      <t>シエンブン</t>
    </rPh>
    <phoneticPr fontId="28"/>
  </si>
  <si>
    <t>採用_医療分</t>
    <rPh sb="0" eb="2">
      <t>サイヨウ</t>
    </rPh>
    <rPh sb="3" eb="6">
      <t>イリョウブン</t>
    </rPh>
    <phoneticPr fontId="28"/>
  </si>
  <si>
    <t>採用_支援分</t>
    <rPh sb="0" eb="2">
      <t>サイヨウ</t>
    </rPh>
    <rPh sb="3" eb="5">
      <t>シエン</t>
    </rPh>
    <rPh sb="5" eb="6">
      <t>ブン</t>
    </rPh>
    <phoneticPr fontId="28"/>
  </si>
  <si>
    <t>減額_医療分</t>
    <rPh sb="0" eb="2">
      <t>ゲンガク</t>
    </rPh>
    <rPh sb="3" eb="6">
      <t>イリョウブン</t>
    </rPh>
    <phoneticPr fontId="28"/>
  </si>
  <si>
    <t>減額_支援分</t>
    <rPh sb="0" eb="2">
      <t>ゲンガク</t>
    </rPh>
    <rPh sb="3" eb="6">
      <t>シエンブン</t>
    </rPh>
    <phoneticPr fontId="28"/>
  </si>
  <si>
    <t>区分2</t>
    <rPh sb="0" eb="2">
      <t>クブン</t>
    </rPh>
    <phoneticPr fontId="28"/>
  </si>
  <si>
    <t>※減額する額を計算</t>
    <rPh sb="1" eb="3">
      <t>ゲンガク</t>
    </rPh>
    <rPh sb="5" eb="6">
      <t>ガク</t>
    </rPh>
    <rPh sb="7" eb="9">
      <t>ケイサン</t>
    </rPh>
    <phoneticPr fontId="28"/>
  </si>
  <si>
    <t>なし</t>
  </si>
  <si>
    <t>＋｛２９万５千円×（被保険者数+特定同一世帯所属者数）｝</t>
    <rPh sb="6" eb="7">
      <t>セン</t>
    </rPh>
    <phoneticPr fontId="28"/>
  </si>
  <si>
    <t>＋｛５４万５千円×（被保険者数+特定同一世帯所属者数）｝</t>
    <rPh sb="6" eb="7">
      <t>セン</t>
    </rPh>
    <phoneticPr fontId="28"/>
  </si>
  <si>
    <t>令和６年度　広島市　国民健康保険料の簡易試算シート　の使い方</t>
    <rPh sb="27" eb="28">
      <t>ツカ</t>
    </rPh>
    <rPh sb="29" eb="30">
      <t>カタ</t>
    </rPh>
    <phoneticPr fontId="28"/>
  </si>
  <si>
    <t>令和６年度　広島市　国民健康保険料の簡易試算シート</t>
    <rPh sb="0" eb="1">
      <t>レイ</t>
    </rPh>
    <rPh sb="1" eb="2">
      <t>ワ</t>
    </rPh>
    <phoneticPr fontId="2"/>
  </si>
  <si>
    <t>　令和5年1月から12月までの給与収入額（総支給額）を入力してください。給与所得の源泉徴収票をお持ちの方は、「支払金額」の欄の数字を入力してください（参考１）。</t>
    <rPh sb="1" eb="3">
      <t>レイワ</t>
    </rPh>
    <rPh sb="4" eb="5">
      <t>ネン</t>
    </rPh>
    <rPh sb="6" eb="7">
      <t>ガツ</t>
    </rPh>
    <rPh sb="11" eb="12">
      <t>ガツ</t>
    </rPh>
    <rPh sb="15" eb="17">
      <t>キュウヨ</t>
    </rPh>
    <rPh sb="17" eb="19">
      <t>シュウニュウ</t>
    </rPh>
    <rPh sb="19" eb="20">
      <t>ガク</t>
    </rPh>
    <rPh sb="21" eb="22">
      <t>ソウ</t>
    </rPh>
    <rPh sb="22" eb="25">
      <t>シキュウガク</t>
    </rPh>
    <rPh sb="27" eb="29">
      <t>ニュウリョク</t>
    </rPh>
    <rPh sb="36" eb="38">
      <t>キュウヨ</t>
    </rPh>
    <rPh sb="38" eb="40">
      <t>ショトク</t>
    </rPh>
    <rPh sb="41" eb="43">
      <t>ゲンセン</t>
    </rPh>
    <rPh sb="43" eb="46">
      <t>チョウシュウヒョウ</t>
    </rPh>
    <rPh sb="48" eb="49">
      <t>モ</t>
    </rPh>
    <rPh sb="51" eb="52">
      <t>カタ</t>
    </rPh>
    <rPh sb="55" eb="57">
      <t>シハライ</t>
    </rPh>
    <rPh sb="57" eb="59">
      <t>キンガク</t>
    </rPh>
    <rPh sb="61" eb="62">
      <t>ラン</t>
    </rPh>
    <rPh sb="63" eb="65">
      <t>スウジ</t>
    </rPh>
    <rPh sb="66" eb="68">
      <t>ニュウリョク</t>
    </rPh>
    <rPh sb="75" eb="77">
      <t>サンコウ</t>
    </rPh>
    <phoneticPr fontId="28"/>
  </si>
  <si>
    <t>　令和5年1月から12月までの公的年金収入額（年間支給額。障害年金や遺族年金を除きます。）を入力してください。公的年金等の源泉徴収票をお持ちの方は、「支払金額」の数字を入力してください（参考２）。</t>
    <rPh sb="1" eb="3">
      <t>レイワ</t>
    </rPh>
    <rPh sb="4" eb="5">
      <t>ネン</t>
    </rPh>
    <rPh sb="6" eb="7">
      <t>ガツ</t>
    </rPh>
    <rPh sb="11" eb="12">
      <t>ガツ</t>
    </rPh>
    <rPh sb="15" eb="17">
      <t>コウテキ</t>
    </rPh>
    <rPh sb="17" eb="19">
      <t>ネンキン</t>
    </rPh>
    <rPh sb="19" eb="21">
      <t>シュウニュウ</t>
    </rPh>
    <rPh sb="21" eb="22">
      <t>ガク</t>
    </rPh>
    <rPh sb="23" eb="25">
      <t>ネンカン</t>
    </rPh>
    <rPh sb="25" eb="27">
      <t>シキュウ</t>
    </rPh>
    <rPh sb="27" eb="28">
      <t>ガク</t>
    </rPh>
    <rPh sb="29" eb="31">
      <t>ショウガイ</t>
    </rPh>
    <rPh sb="31" eb="33">
      <t>ネンキン</t>
    </rPh>
    <rPh sb="34" eb="36">
      <t>イゾク</t>
    </rPh>
    <rPh sb="36" eb="38">
      <t>ネンキン</t>
    </rPh>
    <rPh sb="39" eb="40">
      <t>ノゾ</t>
    </rPh>
    <rPh sb="46" eb="48">
      <t>ニュウリョク</t>
    </rPh>
    <rPh sb="55" eb="57">
      <t>コウテキ</t>
    </rPh>
    <rPh sb="57" eb="59">
      <t>ネンキン</t>
    </rPh>
    <rPh sb="59" eb="60">
      <t>トウ</t>
    </rPh>
    <rPh sb="61" eb="63">
      <t>ゲンセン</t>
    </rPh>
    <rPh sb="63" eb="66">
      <t>チョウシュウヒョウ</t>
    </rPh>
    <rPh sb="68" eb="69">
      <t>モ</t>
    </rPh>
    <rPh sb="71" eb="72">
      <t>カタ</t>
    </rPh>
    <rPh sb="75" eb="77">
      <t>シハライ</t>
    </rPh>
    <rPh sb="77" eb="79">
      <t>キンガク</t>
    </rPh>
    <rPh sb="81" eb="83">
      <t>スウジ</t>
    </rPh>
    <rPh sb="84" eb="86">
      <t>ニュウリョク</t>
    </rPh>
    <rPh sb="93" eb="95">
      <t>サンコウ</t>
    </rPh>
    <phoneticPr fontId="28"/>
  </si>
  <si>
    <t>　令和5年1月から12月までの給与・公的年金以外の所得（営業・不動産所得などで必要経費を差し引いた金額）の合計額を入力してください。
　なお、退職所得は、保険料の算定対象に含まれません。</t>
    <rPh sb="1" eb="3">
      <t>レイワ</t>
    </rPh>
    <rPh sb="4" eb="5">
      <t>ネン</t>
    </rPh>
    <rPh sb="6" eb="7">
      <t>ガツ</t>
    </rPh>
    <rPh sb="11" eb="12">
      <t>ガツ</t>
    </rPh>
    <rPh sb="15" eb="17">
      <t>キュウヨ</t>
    </rPh>
    <rPh sb="18" eb="20">
      <t>コウテキ</t>
    </rPh>
    <rPh sb="20" eb="22">
      <t>ネンキン</t>
    </rPh>
    <rPh sb="22" eb="24">
      <t>イガイ</t>
    </rPh>
    <rPh sb="25" eb="27">
      <t>ショトク</t>
    </rPh>
    <rPh sb="28" eb="30">
      <t>エイギョウ</t>
    </rPh>
    <rPh sb="31" eb="34">
      <t>フドウサン</t>
    </rPh>
    <rPh sb="34" eb="36">
      <t>ショトク</t>
    </rPh>
    <rPh sb="39" eb="41">
      <t>ヒツヨウ</t>
    </rPh>
    <rPh sb="41" eb="43">
      <t>ケイヒ</t>
    </rPh>
    <rPh sb="44" eb="45">
      <t>サ</t>
    </rPh>
    <rPh sb="46" eb="47">
      <t>ヒ</t>
    </rPh>
    <rPh sb="49" eb="51">
      <t>キンガク</t>
    </rPh>
    <rPh sb="53" eb="55">
      <t>ゴウケイ</t>
    </rPh>
    <rPh sb="55" eb="56">
      <t>ガク</t>
    </rPh>
    <rPh sb="57" eb="59">
      <t>ニュウリョク</t>
    </rPh>
    <rPh sb="71" eb="73">
      <t>タイショク</t>
    </rPh>
    <rPh sb="73" eb="75">
      <t>ショトク</t>
    </rPh>
    <rPh sb="77" eb="80">
      <t>ホケンリョウ</t>
    </rPh>
    <rPh sb="81" eb="83">
      <t>サンテイ</t>
    </rPh>
    <rPh sb="83" eb="85">
      <t>タイショウ</t>
    </rPh>
    <rPh sb="86" eb="87">
      <t>フク</t>
    </rPh>
    <phoneticPr fontId="28"/>
  </si>
  <si>
    <t>【令和６年度料率】</t>
    <rPh sb="1" eb="2">
      <t>レイ</t>
    </rPh>
    <rPh sb="2" eb="3">
      <t>ワ</t>
    </rPh>
    <rPh sb="4" eb="6">
      <t>ネンド</t>
    </rPh>
    <rPh sb="6" eb="8">
      <t>リョウリツ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</si>
</sst>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 &quot;円&quot;"/>
    <numFmt numFmtId="177" formatCode="#,##0&quot; &quot;"/>
    <numFmt numFmtId="178" formatCode="0.00_ "/>
    <numFmt numFmtId="179" formatCode="0\ &quot;人&quot;"/>
    <numFmt numFmtId="180" formatCode="&quot;A　&quot;#,###&quot; 円&quot;"/>
    <numFmt numFmtId="181" formatCode="&quot;B　&quot;#,###&quot; 円&quot;"/>
    <numFmt numFmtId="182" formatCode="0&quot;人&quot;"/>
    <numFmt numFmtId="183" formatCode="&quot;C　&quot;#,###&quot; 円&quot;"/>
    <numFmt numFmtId="184" formatCode="&quot;C　&quot;#,###&quot; 円&quot;;&quot;C　&quot;\-#,###&quot;円&quot;"/>
    <numFmt numFmtId="185" formatCode="#,##0_ ;[Red]\-#,##0\ "/>
    <numFmt numFmtId="186" formatCode="#,##0&quot; &quot;;[Red]\-#,##0&quot; &quot;"/>
    <numFmt numFmtId="187" formatCode="[$-411]ggge\.m\.d"/>
    <numFmt numFmtId="188" formatCode="gyy/m/d;@"/>
    <numFmt numFmtId="189" formatCode="[$-411]ge\.m\.d&quot; 生&quot;"/>
    <numFmt numFmtId="190" formatCode="#,##0_);[Red]\(#,##0\)"/>
    <numFmt numFmtId="191" formatCode="0_ &quot;人&quot;"/>
    <numFmt numFmtId="192" formatCode="0.0000_ "/>
  </numFmts>
  <fonts count="58">
    <font>
      <sz val="11"/>
      <color theme="1"/>
      <name val="ＭＳ Ｐゴシック"/>
      <family val="3"/>
      <charset val="128"/>
      <scheme val="minor"/>
    </font>
    <font>
      <b/>
      <sz val="18"/>
      <color indexed="5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b/>
      <sz val="12"/>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sz val="7"/>
      <color theme="1"/>
      <name val="ＭＳ Ｐゴシック"/>
      <family val="3"/>
      <charset val="128"/>
      <scheme val="minor"/>
    </font>
    <font>
      <sz val="10"/>
      <color theme="1"/>
      <name val="ＭＳ Ｐ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b/>
      <sz val="14"/>
      <name val="ＭＳ Ｐゴシック"/>
      <family val="3"/>
      <charset val="128"/>
    </font>
    <font>
      <sz val="10"/>
      <name val="ＭＳ Ｐゴシック"/>
      <family val="3"/>
      <charset val="128"/>
    </font>
    <font>
      <sz val="10"/>
      <name val="ＭＳ 明朝"/>
      <family val="1"/>
      <charset val="128"/>
    </font>
    <font>
      <b/>
      <sz val="11"/>
      <color rgb="FFFF0000"/>
      <name val="ＭＳ Ｐゴシック"/>
      <family val="3"/>
      <charset val="128"/>
      <scheme val="minor"/>
    </font>
    <font>
      <sz val="11"/>
      <color theme="1"/>
      <name val="ＭＳ 明朝"/>
      <family val="1"/>
      <charset val="128"/>
    </font>
    <font>
      <sz val="9"/>
      <color theme="1"/>
      <name val="ＭＳ 明朝"/>
      <family val="1"/>
      <charset val="128"/>
    </font>
    <font>
      <b/>
      <sz val="11"/>
      <name val="ＭＳ Ｐゴシック"/>
      <family val="3"/>
      <charset val="128"/>
    </font>
    <font>
      <b/>
      <sz val="12"/>
      <color rgb="FFFF0000"/>
      <name val="ＭＳ Ｐゴシック"/>
      <family val="3"/>
      <charset val="128"/>
      <scheme val="minor"/>
    </font>
    <font>
      <sz val="10"/>
      <color rgb="FFFF0000"/>
      <name val="ＭＳ Ｐゴシック"/>
      <family val="3"/>
      <charset val="128"/>
      <scheme val="minor"/>
    </font>
    <font>
      <sz val="9.5"/>
      <color theme="1"/>
      <name val="ＭＳ Ｐ明朝"/>
      <family val="1"/>
      <charset val="128"/>
    </font>
    <font>
      <sz val="6"/>
      <name val="ＭＳ Ｐゴシック"/>
      <family val="3"/>
      <charset val="128"/>
      <scheme val="minor"/>
    </font>
    <font>
      <sz val="6"/>
      <color theme="1"/>
      <name val="ＭＳ Ｐゴシック"/>
      <family val="3"/>
      <charset val="128"/>
      <scheme val="minor"/>
    </font>
    <font>
      <sz val="7"/>
      <color theme="1"/>
      <name val="ＭＳ 明朝"/>
      <family val="1"/>
      <charset val="128"/>
    </font>
    <font>
      <sz val="11"/>
      <color rgb="FFFF0000"/>
      <name val="ＭＳ Ｐゴシック"/>
      <family val="3"/>
      <charset val="128"/>
      <scheme val="minor"/>
    </font>
    <font>
      <b/>
      <sz val="9"/>
      <color indexed="81"/>
      <name val="ＭＳ Ｐゴシック"/>
      <family val="3"/>
      <charset val="128"/>
    </font>
    <font>
      <sz val="8"/>
      <color rgb="FFFF0000"/>
      <name val="ＭＳ Ｐゴシック"/>
      <family val="3"/>
      <charset val="128"/>
      <scheme val="minor"/>
    </font>
    <font>
      <b/>
      <sz val="18"/>
      <color theme="3"/>
      <name val="ＭＳ Ｐゴシック"/>
      <family val="2"/>
      <charset val="128"/>
      <scheme val="major"/>
    </font>
    <font>
      <sz val="6"/>
      <name val="ＭＳ Ｐゴシック"/>
      <family val="2"/>
      <charset val="128"/>
      <scheme val="minor"/>
    </font>
    <font>
      <b/>
      <sz val="8"/>
      <color indexed="81"/>
      <name val="ＭＳ Ｐゴシック"/>
      <family val="3"/>
      <charset val="128"/>
    </font>
    <font>
      <sz val="10"/>
      <name val="ＭＳ Ｐゴシック"/>
      <family val="3"/>
      <charset val="128"/>
      <scheme val="minor"/>
    </font>
    <font>
      <b/>
      <sz val="10"/>
      <name val="ＭＳ Ｐゴシック"/>
      <family val="3"/>
      <charset val="128"/>
    </font>
    <font>
      <sz val="9"/>
      <name val="ＭＳ Ｐゴシック"/>
      <family val="3"/>
      <charset val="128"/>
    </font>
    <font>
      <sz val="1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9"/>
      <color indexed="81"/>
      <name val="MS P ゴシック"/>
      <family val="3"/>
      <charset val="128"/>
    </font>
    <font>
      <b/>
      <sz val="11"/>
      <color rgb="FF0070C0"/>
      <name val="ＭＳ Ｐゴシック"/>
      <family val="3"/>
      <charset val="128"/>
      <scheme val="minor"/>
    </font>
    <font>
      <b/>
      <sz val="10"/>
      <color rgb="FF0070C0"/>
      <name val="ＭＳ Ｐゴシック"/>
      <family val="3"/>
      <charset val="128"/>
      <scheme val="minor"/>
    </font>
    <font>
      <b/>
      <sz val="11"/>
      <color rgb="FF00B050"/>
      <name val="ＭＳ Ｐゴシック"/>
      <family val="3"/>
      <charset val="128"/>
      <scheme val="minor"/>
    </font>
    <font>
      <b/>
      <sz val="9"/>
      <name val="ＭＳ Ｐゴシック"/>
      <family val="3"/>
      <charset val="128"/>
    </font>
    <font>
      <b/>
      <sz val="9"/>
      <color rgb="FFFF0000"/>
      <name val="ＭＳ Ｐゴシック"/>
      <family val="3"/>
      <charset val="128"/>
    </font>
    <font>
      <b/>
      <sz val="14"/>
      <color rgb="FFFF0000"/>
      <name val="ＭＳ Ｐゴシック"/>
      <family val="3"/>
      <charset val="128"/>
      <scheme val="minor"/>
    </font>
    <font>
      <b/>
      <u/>
      <sz val="11"/>
      <color rgb="FFFF0000"/>
      <name val="ＭＳ Ｐゴシック"/>
      <family val="3"/>
      <charset val="128"/>
      <scheme val="minor"/>
    </font>
    <font>
      <b/>
      <sz val="15"/>
      <color theme="0"/>
      <name val="ＭＳ Ｐゴシック"/>
      <family val="3"/>
      <charset val="128"/>
      <scheme val="minor"/>
    </font>
    <font>
      <b/>
      <sz val="14"/>
      <color theme="1"/>
      <name val="ＭＳ Ｐゴシック"/>
      <family val="3"/>
      <charset val="128"/>
      <scheme val="minor"/>
    </font>
    <font>
      <sz val="11"/>
      <color rgb="FF000000"/>
      <name val="ＭＳ Ｐゴシック"/>
      <family val="3"/>
      <charset val="128"/>
    </font>
    <font>
      <u/>
      <sz val="11"/>
      <color theme="10"/>
      <name val="ＭＳ Ｐゴシック"/>
      <family val="3"/>
      <charset val="128"/>
      <scheme val="minor"/>
    </font>
    <font>
      <b/>
      <sz val="9"/>
      <color rgb="FF0894EA"/>
      <name val="ＭＳ Ｐゴシック"/>
      <family val="3"/>
      <charset val="128"/>
    </font>
    <font>
      <u val="double"/>
      <sz val="11"/>
      <color rgb="FFFF0000"/>
      <name val="ＭＳ Ｐゴシック"/>
      <family val="3"/>
      <charset val="128"/>
      <scheme val="minor"/>
    </font>
    <font>
      <u val="double"/>
      <sz val="11"/>
      <color rgb="FF0894EA"/>
      <name val="ＭＳ Ｐゴシック"/>
      <family val="3"/>
      <charset val="128"/>
      <scheme val="minor"/>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43"/>
        <bgColor indexed="64"/>
      </patternFill>
    </fill>
    <fill>
      <patternFill patternType="solid">
        <fgColor rgb="FFFFFF99"/>
        <bgColor indexed="64"/>
      </patternFill>
    </fill>
    <fill>
      <patternFill patternType="solid">
        <fgColor rgb="FFFFFFC1"/>
        <bgColor indexed="64"/>
      </patternFill>
    </fill>
    <fill>
      <patternFill patternType="solid">
        <fgColor rgb="FF9BFFFF"/>
        <bgColor indexed="64"/>
      </patternFill>
    </fill>
    <fill>
      <patternFill patternType="solid">
        <fgColor rgb="FFFFC5FF"/>
        <bgColor indexed="64"/>
      </patternFill>
    </fill>
    <fill>
      <patternFill patternType="solid">
        <fgColor theme="9" tint="-0.249977111117893"/>
        <bgColor indexed="64"/>
      </patternFill>
    </fill>
    <fill>
      <patternFill patternType="solid">
        <fgColor rgb="FFFEF2E8"/>
        <bgColor indexed="64"/>
      </patternFill>
    </fill>
    <fill>
      <patternFill patternType="solid">
        <fgColor theme="3" tint="0.79998168889431442"/>
        <bgColor indexed="64"/>
      </patternFill>
    </fill>
    <fill>
      <patternFill patternType="solid">
        <fgColor rgb="FFFFD44B"/>
        <bgColor indexed="64"/>
      </patternFill>
    </fill>
    <fill>
      <patternFill patternType="solid">
        <fgColor rgb="FFFFD85D"/>
        <bgColor indexed="64"/>
      </patternFill>
    </fill>
    <fill>
      <patternFill patternType="solid">
        <fgColor theme="0" tint="-0.34998626667073579"/>
        <bgColor indexed="64"/>
      </patternFill>
    </fill>
    <fill>
      <patternFill patternType="solid">
        <fgColor rgb="FFFFC0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bottom/>
      <diagonal/>
    </border>
    <border>
      <left/>
      <right/>
      <top style="thick">
        <color theme="9"/>
      </top>
      <bottom style="thick">
        <color theme="9"/>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rgb="FFFF0000"/>
      </left>
      <right style="medium">
        <color rgb="FFFF0000"/>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rgb="FFFF0000"/>
      </left>
      <right style="medium">
        <color rgb="FFFF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rgb="FFFF0000"/>
      </left>
      <right style="medium">
        <color rgb="FFFF0000"/>
      </right>
      <top style="hair">
        <color indexed="64"/>
      </top>
      <bottom style="thin">
        <color indexed="64"/>
      </bottom>
      <diagonal/>
    </border>
    <border>
      <left style="thick">
        <color rgb="FFFF0000"/>
      </left>
      <right/>
      <top style="thin">
        <color auto="1"/>
      </top>
      <bottom/>
      <diagonal/>
    </border>
    <border>
      <left style="thick">
        <color rgb="FFFF0000"/>
      </left>
      <right/>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double">
        <color auto="1"/>
      </right>
      <top/>
      <bottom/>
      <diagonal/>
    </border>
    <border>
      <left style="double">
        <color auto="1"/>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rgb="FFFF0000"/>
      </left>
      <right style="medium">
        <color rgb="FFFF0000"/>
      </right>
      <top style="hair">
        <color indexed="64"/>
      </top>
      <bottom style="medium">
        <color rgb="FFFF0000"/>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FF0000"/>
      </left>
      <right/>
      <top style="medium">
        <color rgb="FFFF0000"/>
      </top>
      <bottom style="thin">
        <color indexed="64"/>
      </bottom>
      <diagonal/>
    </border>
    <border>
      <left style="medium">
        <color rgb="FFFF0000"/>
      </left>
      <right/>
      <top style="thin">
        <color indexed="64"/>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style="thin">
        <color indexed="64"/>
      </bottom>
      <diagonal/>
    </border>
    <border>
      <left style="medium">
        <color rgb="FFFF0000"/>
      </left>
      <right/>
      <top style="thin">
        <color indexed="64"/>
      </top>
      <bottom style="medium">
        <color rgb="FFFF0000"/>
      </bottom>
      <diagonal/>
    </border>
    <border>
      <left style="thin">
        <color indexed="64"/>
      </left>
      <right style="medium">
        <color rgb="FFFF0000"/>
      </right>
      <top style="thin">
        <color indexed="64"/>
      </top>
      <bottom style="hair">
        <color indexed="64"/>
      </bottom>
      <diagonal/>
    </border>
    <border>
      <left style="thin">
        <color indexed="64"/>
      </left>
      <right style="medium">
        <color rgb="FFFF0000"/>
      </right>
      <top style="hair">
        <color indexed="64"/>
      </top>
      <bottom style="hair">
        <color indexed="64"/>
      </bottom>
      <diagonal/>
    </border>
    <border>
      <left style="thin">
        <color indexed="64"/>
      </left>
      <right style="medium">
        <color rgb="FFFF0000"/>
      </right>
      <top style="hair">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indexed="64"/>
      </right>
      <top style="hair">
        <color indexed="64"/>
      </top>
      <bottom style="thin">
        <color theme="1"/>
      </bottom>
      <diagonal/>
    </border>
    <border>
      <left/>
      <right/>
      <top style="hair">
        <color indexed="64"/>
      </top>
      <bottom style="thin">
        <color theme="1"/>
      </bottom>
      <diagonal/>
    </border>
    <border>
      <left/>
      <right style="thin">
        <color theme="1"/>
      </right>
      <top style="thin">
        <color theme="1"/>
      </top>
      <bottom style="thin">
        <color indexed="64"/>
      </bottom>
      <diagonal/>
    </border>
    <border>
      <left/>
      <right style="thin">
        <color indexed="64"/>
      </right>
      <top/>
      <bottom style="hair">
        <color indexed="64"/>
      </bottom>
      <diagonal/>
    </border>
    <border>
      <left/>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4" fillId="0" borderId="0" applyNumberFormat="0" applyFill="0" applyBorder="0" applyAlignment="0" applyProtection="0">
      <alignment vertical="center"/>
    </xf>
  </cellStyleXfs>
  <cellXfs count="480">
    <xf numFmtId="0" fontId="0" fillId="0" borderId="0" xfId="0">
      <alignment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0" fontId="0" fillId="5" borderId="1" xfId="0" applyFill="1" applyBorder="1" applyAlignment="1">
      <alignment horizontal="center" vertical="center"/>
    </xf>
    <xf numFmtId="0" fontId="0" fillId="5" borderId="1" xfId="0" applyFill="1" applyBorder="1">
      <alignment vertical="center"/>
    </xf>
    <xf numFmtId="38" fontId="0" fillId="5" borderId="1" xfId="0" applyNumberFormat="1" applyFill="1" applyBorder="1">
      <alignment vertical="center"/>
    </xf>
    <xf numFmtId="0" fontId="5" fillId="3" borderId="1" xfId="0" applyFont="1" applyFill="1" applyBorder="1" applyAlignment="1">
      <alignment horizontal="center" vertical="center" shrinkToFit="1"/>
    </xf>
    <xf numFmtId="0" fontId="0" fillId="6" borderId="0" xfId="0" applyFill="1" applyBorder="1">
      <alignment vertical="center"/>
    </xf>
    <xf numFmtId="38" fontId="0" fillId="5" borderId="1" xfId="1" applyFont="1" applyFill="1" applyBorder="1" applyAlignment="1">
      <alignment vertical="center" shrinkToFit="1"/>
    </xf>
    <xf numFmtId="38" fontId="0" fillId="5" borderId="1" xfId="0" applyNumberFormat="1" applyFill="1" applyBorder="1" applyAlignment="1">
      <alignment vertical="center" shrinkToFit="1"/>
    </xf>
    <xf numFmtId="0" fontId="0" fillId="3" borderId="1" xfId="0" applyFill="1" applyBorder="1" applyAlignment="1">
      <alignment vertical="center" shrinkToFit="1"/>
    </xf>
    <xf numFmtId="0" fontId="0" fillId="6" borderId="0" xfId="0" applyFill="1">
      <alignment vertical="center"/>
    </xf>
    <xf numFmtId="0" fontId="0" fillId="5" borderId="5" xfId="0" applyFill="1" applyBorder="1" applyAlignment="1">
      <alignment horizontal="center" vertical="center"/>
    </xf>
    <xf numFmtId="38" fontId="0" fillId="5" borderId="5" xfId="1" applyFont="1" applyFill="1" applyBorder="1" applyAlignment="1">
      <alignment vertical="center" shrinkToFit="1"/>
    </xf>
    <xf numFmtId="0" fontId="0" fillId="5" borderId="23" xfId="0" applyFill="1" applyBorder="1">
      <alignment vertical="center"/>
    </xf>
    <xf numFmtId="0" fontId="0" fillId="5" borderId="29" xfId="0" applyFill="1" applyBorder="1">
      <alignment vertical="center"/>
    </xf>
    <xf numFmtId="0" fontId="0" fillId="6" borderId="1" xfId="0" applyFill="1" applyBorder="1">
      <alignment vertical="center"/>
    </xf>
    <xf numFmtId="0" fontId="0" fillId="3" borderId="1" xfId="0" applyFill="1" applyBorder="1" applyAlignment="1">
      <alignment horizontal="center" vertical="center" shrinkToFit="1"/>
    </xf>
    <xf numFmtId="0" fontId="0" fillId="6" borderId="0" xfId="0" applyFill="1" applyAlignment="1">
      <alignment horizontal="right" vertical="center"/>
    </xf>
    <xf numFmtId="0" fontId="0" fillId="6" borderId="26" xfId="0" applyFill="1" applyBorder="1">
      <alignment vertical="center"/>
    </xf>
    <xf numFmtId="0" fontId="0" fillId="6" borderId="13" xfId="0" applyFill="1" applyBorder="1">
      <alignment vertical="center"/>
    </xf>
    <xf numFmtId="0" fontId="0" fillId="6" borderId="0" xfId="0" applyFill="1" applyAlignment="1">
      <alignment vertical="center" shrinkToFit="1"/>
    </xf>
    <xf numFmtId="0" fontId="4" fillId="6" borderId="0" xfId="0" applyFont="1" applyFill="1" applyAlignment="1">
      <alignment horizontal="right" vertical="center"/>
    </xf>
    <xf numFmtId="0" fontId="4" fillId="6" borderId="0" xfId="0" quotePrefix="1" applyFont="1" applyFill="1">
      <alignment vertical="center"/>
    </xf>
    <xf numFmtId="38" fontId="4" fillId="6" borderId="0" xfId="1" applyFont="1" applyFill="1">
      <alignment vertical="center"/>
    </xf>
    <xf numFmtId="0" fontId="0" fillId="0" borderId="0" xfId="0" applyProtection="1">
      <alignment vertical="center"/>
    </xf>
    <xf numFmtId="0" fontId="0" fillId="6" borderId="0" xfId="0" applyFill="1" applyProtection="1">
      <alignment vertical="center"/>
    </xf>
    <xf numFmtId="0" fontId="0" fillId="6" borderId="1" xfId="0" applyFill="1" applyBorder="1" applyProtection="1">
      <alignment vertical="center"/>
    </xf>
    <xf numFmtId="0" fontId="0" fillId="6" borderId="0" xfId="0" applyFill="1" applyBorder="1" applyProtection="1">
      <alignment vertical="center"/>
    </xf>
    <xf numFmtId="0" fontId="0" fillId="0" borderId="0" xfId="0" applyBorder="1" applyProtection="1">
      <alignment vertical="center"/>
    </xf>
    <xf numFmtId="0" fontId="0" fillId="5" borderId="1" xfId="0" applyFill="1" applyBorder="1" applyAlignment="1" applyProtection="1">
      <alignment vertical="center" shrinkToFit="1"/>
    </xf>
    <xf numFmtId="38" fontId="0" fillId="5" borderId="1" xfId="1" applyFont="1" applyFill="1" applyBorder="1" applyAlignment="1" applyProtection="1">
      <alignment vertical="center" shrinkToFit="1"/>
    </xf>
    <xf numFmtId="0" fontId="0" fillId="3" borderId="25" xfId="0" applyFill="1" applyBorder="1" applyAlignment="1" applyProtection="1">
      <alignment vertical="center" shrinkToFit="1"/>
    </xf>
    <xf numFmtId="0" fontId="0" fillId="3" borderId="1" xfId="0" applyFill="1" applyBorder="1" applyAlignment="1" applyProtection="1">
      <alignment vertical="center" shrinkToFit="1"/>
    </xf>
    <xf numFmtId="0" fontId="0" fillId="6" borderId="8" xfId="0" applyFill="1" applyBorder="1" applyProtection="1">
      <alignment vertical="center"/>
    </xf>
    <xf numFmtId="0" fontId="0" fillId="0" borderId="0" xfId="0" applyFill="1" applyBorder="1" applyProtection="1">
      <alignment vertical="center"/>
    </xf>
    <xf numFmtId="0" fontId="9" fillId="6" borderId="0" xfId="0" applyFont="1" applyFill="1" applyAlignment="1">
      <alignment horizontal="right" vertical="center"/>
    </xf>
    <xf numFmtId="0" fontId="0" fillId="6" borderId="0" xfId="0" quotePrefix="1" applyFill="1" applyProtection="1">
      <alignment vertical="center"/>
    </xf>
    <xf numFmtId="0" fontId="4" fillId="6" borderId="1" xfId="0" applyFont="1" applyFill="1" applyBorder="1" applyAlignment="1" applyProtection="1">
      <alignment horizontal="right" vertical="center"/>
    </xf>
    <xf numFmtId="0" fontId="9" fillId="6" borderId="8" xfId="0" applyFont="1" applyFill="1" applyBorder="1" applyProtection="1">
      <alignment vertical="center"/>
    </xf>
    <xf numFmtId="0" fontId="21" fillId="6" borderId="0" xfId="0" applyFont="1" applyFill="1">
      <alignment vertical="center"/>
    </xf>
    <xf numFmtId="0" fontId="45" fillId="6" borderId="0" xfId="0" applyFont="1" applyFill="1">
      <alignment vertical="center"/>
    </xf>
    <xf numFmtId="0" fontId="46" fillId="6" borderId="0" xfId="0" applyFont="1" applyFill="1">
      <alignment vertical="center"/>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5" borderId="36" xfId="0" applyFill="1" applyBorder="1">
      <alignment vertical="center"/>
    </xf>
    <xf numFmtId="38" fontId="0" fillId="5" borderId="36" xfId="1" applyFont="1" applyFill="1" applyBorder="1" applyAlignment="1">
      <alignment vertical="center" shrinkToFit="1"/>
    </xf>
    <xf numFmtId="38" fontId="0" fillId="5" borderId="39" xfId="1" applyFont="1" applyFill="1" applyBorder="1" applyAlignment="1">
      <alignment vertical="center" shrinkToFit="1"/>
    </xf>
    <xf numFmtId="38" fontId="0" fillId="6" borderId="41" xfId="1" applyFont="1" applyFill="1" applyBorder="1">
      <alignment vertical="center"/>
    </xf>
    <xf numFmtId="38" fontId="0" fillId="6" borderId="36" xfId="1" applyFont="1" applyFill="1" applyBorder="1">
      <alignment vertical="center"/>
    </xf>
    <xf numFmtId="0" fontId="0" fillId="5" borderId="37" xfId="0" applyFill="1" applyBorder="1">
      <alignment vertical="center"/>
    </xf>
    <xf numFmtId="38" fontId="0" fillId="5" borderId="37" xfId="1" applyFont="1" applyFill="1" applyBorder="1" applyAlignment="1">
      <alignment vertical="center" shrinkToFit="1"/>
    </xf>
    <xf numFmtId="38" fontId="0" fillId="5" borderId="42" xfId="1" applyFont="1" applyFill="1" applyBorder="1" applyAlignment="1">
      <alignment vertical="center" shrinkToFit="1"/>
    </xf>
    <xf numFmtId="38" fontId="0" fillId="6" borderId="44" xfId="1" applyFont="1" applyFill="1" applyBorder="1">
      <alignment vertical="center"/>
    </xf>
    <xf numFmtId="38" fontId="0" fillId="6" borderId="37" xfId="1" applyFont="1" applyFill="1" applyBorder="1">
      <alignment vertical="center"/>
    </xf>
    <xf numFmtId="0" fontId="0" fillId="5" borderId="38" xfId="0" applyFill="1" applyBorder="1">
      <alignment vertical="center"/>
    </xf>
    <xf numFmtId="38" fontId="0" fillId="5" borderId="38" xfId="1" applyFont="1" applyFill="1" applyBorder="1" applyAlignment="1">
      <alignment vertical="center" shrinkToFit="1"/>
    </xf>
    <xf numFmtId="38" fontId="0" fillId="5" borderId="45" xfId="1" applyFont="1" applyFill="1" applyBorder="1" applyAlignment="1">
      <alignment vertical="center" shrinkToFit="1"/>
    </xf>
    <xf numFmtId="38" fontId="0" fillId="6" borderId="35" xfId="1" applyFont="1" applyFill="1" applyBorder="1">
      <alignment vertical="center"/>
    </xf>
    <xf numFmtId="38" fontId="0" fillId="6" borderId="38" xfId="1" applyFont="1" applyFill="1" applyBorder="1">
      <alignment vertical="center"/>
    </xf>
    <xf numFmtId="38" fontId="0" fillId="5" borderId="36" xfId="1" applyNumberFormat="1" applyFont="1" applyFill="1" applyBorder="1" applyAlignment="1">
      <alignment vertical="center" shrinkToFit="1"/>
    </xf>
    <xf numFmtId="38" fontId="0" fillId="5" borderId="36" xfId="0" applyNumberFormat="1" applyFill="1" applyBorder="1" applyAlignment="1">
      <alignment vertical="center" shrinkToFit="1"/>
    </xf>
    <xf numFmtId="38" fontId="0" fillId="5" borderId="37" xfId="1" applyNumberFormat="1" applyFont="1" applyFill="1" applyBorder="1" applyAlignment="1">
      <alignment vertical="center" shrinkToFit="1"/>
    </xf>
    <xf numFmtId="38" fontId="0" fillId="5" borderId="37" xfId="0" applyNumberFormat="1" applyFill="1" applyBorder="1" applyAlignment="1">
      <alignment vertical="center" shrinkToFit="1"/>
    </xf>
    <xf numFmtId="38" fontId="0" fillId="5" borderId="38" xfId="0" applyNumberFormat="1" applyFill="1" applyBorder="1" applyAlignment="1">
      <alignment vertical="center" shrinkToFit="1"/>
    </xf>
    <xf numFmtId="38" fontId="0" fillId="5" borderId="38" xfId="1" applyNumberFormat="1" applyFont="1" applyFill="1" applyBorder="1" applyAlignment="1">
      <alignment vertical="center" shrinkToFit="1"/>
    </xf>
    <xf numFmtId="38" fontId="0" fillId="5" borderId="36" xfId="0" applyNumberFormat="1" applyFill="1" applyBorder="1">
      <alignment vertical="center"/>
    </xf>
    <xf numFmtId="38" fontId="0" fillId="5" borderId="37" xfId="0" applyNumberFormat="1" applyFill="1" applyBorder="1">
      <alignment vertical="center"/>
    </xf>
    <xf numFmtId="38" fontId="0" fillId="5" borderId="37" xfId="1" applyFont="1" applyFill="1" applyBorder="1">
      <alignment vertical="center"/>
    </xf>
    <xf numFmtId="38" fontId="0" fillId="5" borderId="38" xfId="1" applyFont="1" applyFill="1" applyBorder="1">
      <alignment vertical="center"/>
    </xf>
    <xf numFmtId="38" fontId="0" fillId="5" borderId="41" xfId="1" applyFont="1" applyFill="1" applyBorder="1" applyAlignment="1" applyProtection="1">
      <alignment vertical="center" shrinkToFit="1"/>
    </xf>
    <xf numFmtId="38" fontId="0" fillId="5" borderId="44" xfId="1" applyFont="1" applyFill="1" applyBorder="1" applyAlignment="1" applyProtection="1">
      <alignment vertical="center" shrinkToFit="1"/>
    </xf>
    <xf numFmtId="38" fontId="0" fillId="5" borderId="35" xfId="1" applyFont="1" applyFill="1" applyBorder="1" applyAlignment="1" applyProtection="1">
      <alignment vertical="center" shrinkToFit="1"/>
    </xf>
    <xf numFmtId="38" fontId="0" fillId="5" borderId="36" xfId="1" applyFont="1" applyFill="1" applyBorder="1" applyProtection="1">
      <alignment vertical="center"/>
    </xf>
    <xf numFmtId="38" fontId="0" fillId="5" borderId="37" xfId="1" applyFont="1" applyFill="1" applyBorder="1" applyProtection="1">
      <alignment vertical="center"/>
    </xf>
    <xf numFmtId="38" fontId="0" fillId="5" borderId="38" xfId="1" applyFont="1" applyFill="1" applyBorder="1" applyAlignment="1" applyProtection="1">
      <alignment vertical="center" shrinkToFit="1"/>
    </xf>
    <xf numFmtId="0" fontId="0" fillId="5" borderId="26" xfId="0" applyFill="1" applyBorder="1" applyAlignment="1">
      <alignment horizontal="center" vertical="center"/>
    </xf>
    <xf numFmtId="0" fontId="0" fillId="8" borderId="0" xfId="0" applyFill="1" applyProtection="1">
      <alignment vertical="center"/>
    </xf>
    <xf numFmtId="0" fontId="5" fillId="0" borderId="0" xfId="0" applyFont="1" applyAlignment="1" applyProtection="1">
      <alignment vertical="top" wrapText="1"/>
    </xf>
    <xf numFmtId="0" fontId="4" fillId="0" borderId="0" xfId="0" applyFont="1" applyAlignment="1" applyProtection="1">
      <alignment vertical="center" wrapText="1"/>
    </xf>
    <xf numFmtId="0" fontId="12" fillId="0" borderId="0" xfId="0" applyFont="1" applyAlignment="1" applyProtection="1">
      <alignment vertical="center" wrapText="1"/>
    </xf>
    <xf numFmtId="0" fontId="0" fillId="0" borderId="0" xfId="0" applyFont="1" applyAlignment="1" applyProtection="1">
      <alignment horizontal="left" vertical="center"/>
    </xf>
    <xf numFmtId="0" fontId="0" fillId="0" borderId="0" xfId="0" applyAlignment="1" applyProtection="1">
      <alignment vertical="center"/>
    </xf>
    <xf numFmtId="0" fontId="0" fillId="2" borderId="15" xfId="0" applyFill="1" applyBorder="1" applyProtection="1">
      <alignment vertical="center"/>
    </xf>
    <xf numFmtId="0" fontId="0" fillId="2" borderId="16" xfId="0" applyFill="1" applyBorder="1" applyProtection="1">
      <alignment vertical="center"/>
    </xf>
    <xf numFmtId="0" fontId="0" fillId="2" borderId="17"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9" xfId="0" applyFill="1" applyBorder="1" applyProtection="1">
      <alignment vertical="center"/>
    </xf>
    <xf numFmtId="0" fontId="0" fillId="2" borderId="18" xfId="0" applyFill="1" applyBorder="1" applyProtection="1">
      <alignment vertical="center"/>
    </xf>
    <xf numFmtId="0" fontId="0" fillId="2" borderId="0" xfId="0" applyFill="1" applyBorder="1" applyProtection="1">
      <alignment vertical="center"/>
    </xf>
    <xf numFmtId="0" fontId="0" fillId="2" borderId="19" xfId="0" applyFill="1" applyBorder="1" applyProtection="1">
      <alignment vertical="center"/>
    </xf>
    <xf numFmtId="0" fontId="0" fillId="0" borderId="10" xfId="0" applyFill="1" applyBorder="1" applyProtection="1">
      <alignment vertical="center"/>
    </xf>
    <xf numFmtId="0" fontId="16" fillId="6" borderId="0" xfId="0" applyFont="1" applyFill="1" applyBorder="1" applyAlignment="1" applyProtection="1">
      <alignment horizontal="center" vertical="center"/>
    </xf>
    <xf numFmtId="0" fontId="22" fillId="6" borderId="0" xfId="0" applyFont="1" applyFill="1" applyBorder="1" applyProtection="1">
      <alignment vertical="center"/>
    </xf>
    <xf numFmtId="0" fontId="0" fillId="0" borderId="6" xfId="0" applyFill="1" applyBorder="1" applyProtection="1">
      <alignment vertical="center"/>
    </xf>
    <xf numFmtId="0" fontId="39" fillId="2" borderId="0" xfId="0" applyFont="1" applyFill="1" applyBorder="1" applyAlignment="1" applyProtection="1">
      <alignment horizontal="center" vertical="center" shrinkToFit="1"/>
    </xf>
    <xf numFmtId="0" fontId="0" fillId="0" borderId="0" xfId="0" applyFill="1" applyProtection="1">
      <alignment vertical="center"/>
    </xf>
    <xf numFmtId="0" fontId="30" fillId="6" borderId="0" xfId="0" quotePrefix="1" applyFont="1" applyFill="1" applyBorder="1" applyProtection="1">
      <alignment vertical="center"/>
    </xf>
    <xf numFmtId="0" fontId="9" fillId="2" borderId="0" xfId="0" applyFont="1" applyFill="1" applyBorder="1" applyAlignment="1" applyProtection="1">
      <alignment horizontal="center" vertical="center" shrinkToFit="1"/>
    </xf>
    <xf numFmtId="0" fontId="9" fillId="2" borderId="0" xfId="0" applyFont="1" applyFill="1" applyBorder="1" applyAlignment="1" applyProtection="1">
      <alignment vertical="center" shrinkToFit="1"/>
    </xf>
    <xf numFmtId="0" fontId="4" fillId="2" borderId="0" xfId="0" applyFont="1" applyFill="1" applyBorder="1" applyAlignment="1" applyProtection="1">
      <alignment horizontal="left" vertical="center"/>
    </xf>
    <xf numFmtId="0" fontId="9" fillId="2" borderId="0" xfId="0" applyFont="1" applyFill="1" applyBorder="1" applyProtection="1">
      <alignment vertical="center"/>
    </xf>
    <xf numFmtId="0" fontId="29" fillId="2" borderId="19" xfId="0" applyFont="1" applyFill="1" applyBorder="1" applyProtection="1">
      <alignment vertical="center"/>
    </xf>
    <xf numFmtId="0" fontId="5" fillId="0" borderId="10" xfId="0" applyFont="1" applyFill="1" applyBorder="1" applyAlignment="1" applyProtection="1">
      <alignment horizontal="left" vertical="center"/>
    </xf>
    <xf numFmtId="0" fontId="0" fillId="12" borderId="0" xfId="0" applyFill="1" applyBorder="1" applyAlignment="1" applyProtection="1">
      <alignment horizontal="center" vertical="center"/>
    </xf>
    <xf numFmtId="0" fontId="0" fillId="12" borderId="0" xfId="0" applyFill="1" applyBorder="1" applyProtection="1">
      <alignment vertical="center"/>
    </xf>
    <xf numFmtId="176" fontId="0" fillId="12" borderId="1" xfId="0" applyNumberFormat="1" applyFill="1" applyBorder="1" applyAlignment="1" applyProtection="1">
      <alignment vertical="center" shrinkToFit="1"/>
    </xf>
    <xf numFmtId="0" fontId="6" fillId="12" borderId="0" xfId="0" applyFont="1" applyFill="1" applyBorder="1" applyAlignment="1" applyProtection="1">
      <alignment horizontal="center" vertical="center"/>
    </xf>
    <xf numFmtId="0" fontId="7" fillId="12" borderId="0" xfId="0" quotePrefix="1" applyFont="1" applyFill="1" applyBorder="1" applyAlignment="1" applyProtection="1">
      <alignment horizontal="center" vertical="center"/>
    </xf>
    <xf numFmtId="0" fontId="0" fillId="12" borderId="6" xfId="0" applyFill="1" applyBorder="1" applyAlignment="1" applyProtection="1">
      <alignment horizontal="center" vertical="center"/>
    </xf>
    <xf numFmtId="0" fontId="5" fillId="2" borderId="0" xfId="0" applyFont="1" applyFill="1" applyBorder="1" applyAlignment="1" applyProtection="1">
      <alignment horizontal="left" vertical="center"/>
    </xf>
    <xf numFmtId="0" fontId="13" fillId="2" borderId="0" xfId="0" applyFont="1" applyFill="1" applyBorder="1" applyProtection="1">
      <alignment vertical="center"/>
    </xf>
    <xf numFmtId="181" fontId="13" fillId="2" borderId="0" xfId="1" applyNumberFormat="1" applyFont="1" applyFill="1" applyBorder="1" applyAlignment="1" applyProtection="1">
      <alignment horizontal="right" vertical="center" shrinkToFit="1"/>
    </xf>
    <xf numFmtId="184" fontId="13" fillId="2" borderId="0" xfId="1" applyNumberFormat="1" applyFont="1" applyFill="1" applyBorder="1" applyAlignment="1" applyProtection="1">
      <alignment horizontal="right" vertical="center" shrinkToFit="1"/>
    </xf>
    <xf numFmtId="183" fontId="13" fillId="2" borderId="0" xfId="1" applyNumberFormat="1" applyFont="1" applyFill="1" applyBorder="1" applyAlignment="1" applyProtection="1">
      <alignment horizontal="right" vertical="center" shrinkToFit="1"/>
    </xf>
    <xf numFmtId="0" fontId="0" fillId="0" borderId="10"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40" fillId="9" borderId="0" xfId="0" applyFont="1" applyFill="1" applyBorder="1" applyAlignment="1" applyProtection="1">
      <alignment horizontal="center" vertical="center"/>
    </xf>
    <xf numFmtId="0" fontId="0" fillId="10" borderId="0" xfId="0" applyFill="1" applyBorder="1" applyProtection="1">
      <alignment vertical="center"/>
    </xf>
    <xf numFmtId="176" fontId="0" fillId="10" borderId="1" xfId="0" applyNumberFormat="1" applyFill="1" applyBorder="1" applyAlignment="1" applyProtection="1">
      <alignment vertical="center" shrinkToFit="1"/>
    </xf>
    <xf numFmtId="0" fontId="6" fillId="10" borderId="0" xfId="0" applyFont="1" applyFill="1" applyBorder="1" applyAlignment="1" applyProtection="1">
      <alignment horizontal="center" vertical="center"/>
    </xf>
    <xf numFmtId="0" fontId="7" fillId="10" borderId="0" xfId="0" quotePrefix="1"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40" fillId="9" borderId="6" xfId="0" applyFont="1" applyFill="1" applyBorder="1" applyAlignment="1" applyProtection="1">
      <alignment horizontal="center" vertical="center"/>
    </xf>
    <xf numFmtId="0" fontId="0" fillId="13" borderId="0" xfId="0" applyFill="1" applyBorder="1" applyAlignment="1" applyProtection="1">
      <alignment horizontal="center" vertical="center"/>
    </xf>
    <xf numFmtId="0" fontId="0" fillId="13" borderId="0" xfId="0" applyFill="1" applyBorder="1" applyProtection="1">
      <alignment vertical="center"/>
    </xf>
    <xf numFmtId="176" fontId="0" fillId="13" borderId="1" xfId="0" applyNumberFormat="1" applyFill="1" applyBorder="1" applyAlignment="1" applyProtection="1">
      <alignment vertical="center" shrinkToFit="1"/>
    </xf>
    <xf numFmtId="0" fontId="6" fillId="13" borderId="0" xfId="0" applyFont="1" applyFill="1" applyBorder="1" applyAlignment="1" applyProtection="1">
      <alignment horizontal="center" vertical="center"/>
    </xf>
    <xf numFmtId="0" fontId="7" fillId="13" borderId="0" xfId="0" quotePrefix="1" applyFont="1" applyFill="1" applyBorder="1" applyAlignment="1" applyProtection="1">
      <alignment horizontal="center" vertical="center"/>
    </xf>
    <xf numFmtId="0" fontId="0" fillId="13" borderId="6" xfId="0" applyFill="1" applyBorder="1" applyAlignment="1" applyProtection="1">
      <alignment horizontal="center" vertical="center"/>
    </xf>
    <xf numFmtId="0" fontId="0" fillId="0" borderId="11" xfId="0" applyFill="1" applyBorder="1" applyProtection="1">
      <alignment vertical="center"/>
    </xf>
    <xf numFmtId="0" fontId="0" fillId="0" borderId="12" xfId="0" applyFill="1" applyBorder="1" applyProtection="1">
      <alignment vertical="center"/>
    </xf>
    <xf numFmtId="0" fontId="0" fillId="2" borderId="20" xfId="0" applyFill="1" applyBorder="1" applyProtection="1">
      <alignment vertical="center"/>
    </xf>
    <xf numFmtId="0" fontId="0" fillId="2" borderId="21" xfId="0" applyFill="1" applyBorder="1" applyProtection="1">
      <alignment vertical="center"/>
    </xf>
    <xf numFmtId="0" fontId="13" fillId="2" borderId="21" xfId="0" applyFont="1" applyFill="1" applyBorder="1" applyProtection="1">
      <alignment vertical="center"/>
    </xf>
    <xf numFmtId="0" fontId="9" fillId="2" borderId="21" xfId="0" applyFont="1" applyFill="1" applyBorder="1" applyAlignment="1" applyProtection="1">
      <alignment horizontal="center" vertical="center" shrinkToFit="1"/>
    </xf>
    <xf numFmtId="0" fontId="9" fillId="2" borderId="21" xfId="0" applyFont="1" applyFill="1" applyBorder="1" applyAlignment="1" applyProtection="1">
      <alignment vertical="center" shrinkToFit="1"/>
    </xf>
    <xf numFmtId="0" fontId="0" fillId="2" borderId="22" xfId="0" applyFill="1" applyBorder="1" applyProtection="1">
      <alignment vertical="center"/>
    </xf>
    <xf numFmtId="176" fontId="4" fillId="0" borderId="0" xfId="0" applyNumberFormat="1" applyFont="1" applyFill="1" applyBorder="1" applyAlignment="1" applyProtection="1">
      <alignment vertical="top" shrinkToFit="1"/>
    </xf>
    <xf numFmtId="0" fontId="33" fillId="0" borderId="0" xfId="0" applyFont="1" applyFill="1" applyBorder="1" applyProtection="1">
      <alignment vertical="center"/>
    </xf>
    <xf numFmtId="0" fontId="33" fillId="0" borderId="0" xfId="0" applyFont="1" applyFill="1" applyBorder="1" applyAlignment="1" applyProtection="1">
      <alignment horizontal="right" vertical="center"/>
    </xf>
    <xf numFmtId="0" fontId="21" fillId="0" borderId="0" xfId="0" applyFont="1" applyBorder="1" applyAlignment="1" applyProtection="1">
      <alignment vertical="center" shrinkToFit="1"/>
    </xf>
    <xf numFmtId="0" fontId="21" fillId="4" borderId="34" xfId="0" applyFont="1" applyFill="1" applyBorder="1" applyProtection="1">
      <alignment vertical="center"/>
    </xf>
    <xf numFmtId="0" fontId="21" fillId="4" borderId="34" xfId="0" applyFont="1" applyFill="1" applyBorder="1" applyAlignment="1" applyProtection="1">
      <alignment horizontal="right" vertical="center"/>
    </xf>
    <xf numFmtId="0" fontId="4" fillId="0" borderId="0" xfId="0" applyFont="1" applyBorder="1" applyProtection="1">
      <alignment vertical="center"/>
    </xf>
    <xf numFmtId="0" fontId="4" fillId="0" borderId="0" xfId="0" applyFont="1" applyAlignment="1" applyProtection="1">
      <alignment horizontal="left" vertical="center"/>
    </xf>
    <xf numFmtId="0" fontId="26" fillId="0" borderId="0" xfId="0" applyFont="1" applyProtection="1">
      <alignment vertical="center"/>
    </xf>
    <xf numFmtId="0" fontId="15" fillId="6" borderId="1" xfId="0" applyFont="1" applyFill="1" applyBorder="1" applyAlignment="1" applyProtection="1">
      <alignment horizontal="center" vertical="center"/>
    </xf>
    <xf numFmtId="0" fontId="15" fillId="12" borderId="36" xfId="0" applyFont="1" applyFill="1" applyBorder="1" applyAlignment="1" applyProtection="1">
      <alignment horizontal="center" vertical="center"/>
    </xf>
    <xf numFmtId="0" fontId="20" fillId="9" borderId="37" xfId="0" applyFont="1" applyFill="1" applyBorder="1" applyAlignment="1" applyProtection="1">
      <alignment horizontal="center" vertical="center"/>
    </xf>
    <xf numFmtId="0" fontId="15" fillId="13" borderId="38" xfId="0" applyFont="1" applyFill="1" applyBorder="1" applyAlignment="1" applyProtection="1">
      <alignment horizontal="center" vertical="center"/>
    </xf>
    <xf numFmtId="0" fontId="15" fillId="0" borderId="1" xfId="0" applyFont="1" applyBorder="1" applyAlignment="1" applyProtection="1">
      <alignment horizontal="center" vertical="center"/>
    </xf>
    <xf numFmtId="38" fontId="16" fillId="0" borderId="10" xfId="0" applyNumberFormat="1" applyFont="1" applyBorder="1" applyAlignment="1" applyProtection="1">
      <alignment horizontal="center" vertical="center" shrinkToFit="1"/>
    </xf>
    <xf numFmtId="0" fontId="5" fillId="0" borderId="36" xfId="0" applyFont="1" applyBorder="1" applyAlignment="1" applyProtection="1">
      <alignment horizontal="center" vertical="center"/>
    </xf>
    <xf numFmtId="38" fontId="9" fillId="0" borderId="10" xfId="0" applyNumberFormat="1" applyFont="1" applyBorder="1" applyAlignment="1" applyProtection="1">
      <alignment horizontal="right" vertical="center" shrinkToFit="1"/>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17" fillId="0" borderId="0" xfId="0" applyFont="1" applyProtection="1">
      <alignment vertical="center"/>
    </xf>
    <xf numFmtId="0" fontId="0" fillId="0" borderId="0" xfId="0">
      <alignment vertical="center"/>
    </xf>
    <xf numFmtId="0" fontId="0" fillId="0" borderId="0" xfId="0">
      <alignment vertical="center"/>
    </xf>
    <xf numFmtId="0" fontId="0" fillId="0" borderId="0" xfId="0">
      <alignment vertical="center"/>
    </xf>
    <xf numFmtId="0" fontId="0" fillId="5" borderId="5" xfId="0" applyFill="1" applyBorder="1">
      <alignment vertical="center"/>
    </xf>
    <xf numFmtId="0" fontId="9" fillId="3" borderId="5" xfId="0" applyFont="1" applyFill="1" applyBorder="1" applyAlignment="1">
      <alignment vertical="center" wrapText="1" shrinkToFit="1"/>
    </xf>
    <xf numFmtId="0" fontId="0" fillId="3" borderId="25" xfId="0" applyFill="1" applyBorder="1" applyAlignment="1" applyProtection="1">
      <alignment horizontal="center" vertical="center" shrinkToFit="1"/>
    </xf>
    <xf numFmtId="0" fontId="0" fillId="3" borderId="5" xfId="0" applyFill="1" applyBorder="1" applyAlignment="1" applyProtection="1">
      <alignment horizontal="center" vertical="center" shrinkToFit="1"/>
    </xf>
    <xf numFmtId="38" fontId="0" fillId="3" borderId="1" xfId="1" applyFont="1" applyFill="1" applyBorder="1" applyAlignment="1" applyProtection="1">
      <alignment horizontal="center" vertical="center" shrinkToFit="1"/>
    </xf>
    <xf numFmtId="0" fontId="0" fillId="3" borderId="23" xfId="0" applyFill="1" applyBorder="1" applyAlignment="1">
      <alignment horizontal="center" vertical="center" shrinkToFit="1"/>
    </xf>
    <xf numFmtId="0" fontId="0" fillId="3" borderId="51" xfId="0" applyFill="1" applyBorder="1" applyAlignment="1">
      <alignment horizontal="center" vertical="center" shrinkToFit="1"/>
    </xf>
    <xf numFmtId="0" fontId="0" fillId="5" borderId="36" xfId="0" applyFill="1" applyBorder="1" applyAlignment="1" applyProtection="1">
      <alignment vertical="center" shrinkToFit="1"/>
    </xf>
    <xf numFmtId="0" fontId="0" fillId="5" borderId="41" xfId="0" applyFill="1" applyBorder="1" applyAlignment="1" applyProtection="1">
      <alignment vertical="center" shrinkToFit="1"/>
    </xf>
    <xf numFmtId="38" fontId="0" fillId="5" borderId="37" xfId="1" applyFont="1" applyFill="1" applyBorder="1" applyAlignment="1" applyProtection="1">
      <alignment vertical="center" shrinkToFit="1"/>
    </xf>
    <xf numFmtId="0" fontId="0" fillId="0" borderId="0" xfId="0">
      <alignment vertical="center"/>
    </xf>
    <xf numFmtId="38" fontId="0" fillId="5" borderId="55" xfId="1" applyFont="1" applyFill="1" applyBorder="1" applyProtection="1">
      <alignment vertical="center"/>
    </xf>
    <xf numFmtId="0" fontId="0" fillId="5" borderId="1" xfId="0" applyFill="1" applyBorder="1" applyAlignment="1" applyProtection="1">
      <alignment horizontal="justify" vertical="center" wrapText="1" shrinkToFit="1"/>
    </xf>
    <xf numFmtId="0" fontId="0" fillId="3" borderId="25" xfId="0" applyFill="1" applyBorder="1" applyAlignment="1" applyProtection="1">
      <alignment horizontal="center" vertical="center"/>
    </xf>
    <xf numFmtId="0" fontId="0" fillId="4" borderId="1" xfId="0" applyFill="1" applyBorder="1" applyAlignment="1" applyProtection="1">
      <alignment horizontal="center" vertical="center"/>
    </xf>
    <xf numFmtId="38" fontId="0" fillId="6" borderId="36" xfId="1" applyFont="1" applyFill="1" applyBorder="1" applyAlignment="1" applyProtection="1">
      <alignment vertical="center" shrinkToFit="1"/>
    </xf>
    <xf numFmtId="38" fontId="0" fillId="6" borderId="37" xfId="1" applyFont="1" applyFill="1" applyBorder="1" applyAlignment="1" applyProtection="1">
      <alignment vertical="center" shrinkToFit="1"/>
    </xf>
    <xf numFmtId="38" fontId="0" fillId="6" borderId="38" xfId="1" applyFont="1" applyFill="1" applyBorder="1" applyAlignment="1" applyProtection="1">
      <alignment vertical="center" shrinkToFit="1"/>
    </xf>
    <xf numFmtId="0" fontId="0" fillId="6" borderId="36" xfId="0" applyFill="1" applyBorder="1" applyProtection="1">
      <alignment vertical="center"/>
    </xf>
    <xf numFmtId="0" fontId="0" fillId="6" borderId="37" xfId="0" applyFill="1" applyBorder="1" applyProtection="1">
      <alignment vertical="center"/>
    </xf>
    <xf numFmtId="0" fontId="0" fillId="6" borderId="38" xfId="0" applyFill="1" applyBorder="1" applyProtection="1">
      <alignment vertical="center"/>
    </xf>
    <xf numFmtId="38" fontId="0" fillId="6" borderId="1" xfId="1" applyFont="1" applyFill="1" applyBorder="1">
      <alignment vertical="center"/>
    </xf>
    <xf numFmtId="182" fontId="0" fillId="5" borderId="1" xfId="0" applyNumberFormat="1" applyFill="1" applyBorder="1">
      <alignment vertical="center"/>
    </xf>
    <xf numFmtId="0" fontId="0" fillId="0" borderId="0" xfId="0">
      <alignment vertical="center"/>
    </xf>
    <xf numFmtId="0" fontId="8" fillId="0" borderId="0" xfId="0" applyFont="1">
      <alignment vertical="center"/>
    </xf>
    <xf numFmtId="0" fontId="0" fillId="4" borderId="34" xfId="0" applyFill="1" applyBorder="1" applyProtection="1">
      <alignment vertical="center"/>
    </xf>
    <xf numFmtId="0" fontId="0" fillId="0" borderId="47" xfId="0" applyFill="1" applyBorder="1" applyProtection="1">
      <alignment vertical="center"/>
    </xf>
    <xf numFmtId="0" fontId="13" fillId="0" borderId="6" xfId="0" applyFont="1" applyFill="1" applyBorder="1" applyAlignment="1" applyProtection="1">
      <alignment horizontal="center" vertical="center"/>
    </xf>
    <xf numFmtId="176" fontId="0" fillId="0" borderId="1" xfId="0" applyNumberFormat="1" applyFill="1" applyBorder="1" applyAlignment="1" applyProtection="1">
      <alignment vertical="center" shrinkToFit="1"/>
    </xf>
    <xf numFmtId="0" fontId="9" fillId="0" borderId="6" xfId="0" applyFont="1" applyFill="1" applyBorder="1" applyAlignment="1" applyProtection="1">
      <alignment horizontal="left" vertical="center"/>
    </xf>
    <xf numFmtId="176" fontId="9" fillId="0" borderId="0" xfId="0" applyNumberFormat="1" applyFont="1" applyFill="1" applyBorder="1" applyAlignment="1" applyProtection="1">
      <alignment vertical="center" shrinkToFit="1"/>
    </xf>
    <xf numFmtId="0" fontId="0" fillId="0" borderId="6" xfId="0" applyFill="1" applyBorder="1" applyAlignment="1" applyProtection="1">
      <alignment horizontal="left" vertical="center"/>
    </xf>
    <xf numFmtId="0" fontId="0" fillId="0" borderId="48" xfId="0" applyFill="1" applyBorder="1" applyProtection="1">
      <alignment vertical="center"/>
    </xf>
    <xf numFmtId="177" fontId="0" fillId="0" borderId="1" xfId="1" applyNumberFormat="1" applyFont="1" applyFill="1" applyBorder="1" applyAlignment="1" applyProtection="1">
      <alignment vertical="center" shrinkToFit="1"/>
      <protection locked="0"/>
    </xf>
    <xf numFmtId="0" fontId="38" fillId="2" borderId="0" xfId="0" applyFont="1" applyFill="1" applyBorder="1" applyAlignment="1" applyProtection="1">
      <alignment horizontal="center" vertical="center" wrapText="1"/>
    </xf>
    <xf numFmtId="0" fontId="38" fillId="2" borderId="56" xfId="0" applyFont="1" applyFill="1" applyBorder="1" applyAlignment="1" applyProtection="1">
      <alignment horizontal="center" vertical="center" wrapText="1"/>
    </xf>
    <xf numFmtId="0" fontId="39" fillId="2" borderId="56" xfId="0" applyFont="1" applyFill="1" applyBorder="1" applyAlignment="1" applyProtection="1">
      <alignment horizontal="center" vertical="center" shrinkToFit="1"/>
    </xf>
    <xf numFmtId="0" fontId="0" fillId="6" borderId="6" xfId="0" applyFill="1" applyBorder="1" applyProtection="1">
      <alignment vertical="center"/>
    </xf>
    <xf numFmtId="0" fontId="0" fillId="0" borderId="0" xfId="0" applyFill="1">
      <alignment vertical="center"/>
    </xf>
    <xf numFmtId="0" fontId="0" fillId="0" borderId="0" xfId="0" applyBorder="1">
      <alignment vertical="center"/>
    </xf>
    <xf numFmtId="0" fontId="8" fillId="0" borderId="0" xfId="0" applyFont="1" applyBorder="1">
      <alignment vertical="center"/>
    </xf>
    <xf numFmtId="0" fontId="0" fillId="0" borderId="58" xfId="0" applyBorder="1">
      <alignment vertical="center"/>
    </xf>
    <xf numFmtId="0" fontId="8" fillId="0" borderId="58" xfId="0" applyFont="1" applyBorder="1">
      <alignment vertical="center"/>
    </xf>
    <xf numFmtId="0" fontId="29" fillId="2" borderId="19" xfId="0" applyFont="1" applyFill="1" applyBorder="1" applyAlignment="1" applyProtection="1">
      <alignment vertical="center" textRotation="255" shrinkToFit="1"/>
    </xf>
    <xf numFmtId="38" fontId="0" fillId="6" borderId="36" xfId="1" applyFont="1" applyFill="1" applyBorder="1" applyProtection="1">
      <alignment vertical="center"/>
    </xf>
    <xf numFmtId="38" fontId="0" fillId="6" borderId="37" xfId="1" applyFont="1" applyFill="1" applyBorder="1" applyProtection="1">
      <alignment vertical="center"/>
    </xf>
    <xf numFmtId="38" fontId="0" fillId="6" borderId="38" xfId="1" applyFont="1" applyFill="1" applyBorder="1" applyProtection="1">
      <alignment vertical="center"/>
    </xf>
    <xf numFmtId="0" fontId="0" fillId="6" borderId="37" xfId="0" applyFill="1" applyBorder="1" applyAlignment="1" applyProtection="1">
      <alignment horizontal="center" vertical="center"/>
    </xf>
    <xf numFmtId="0" fontId="0" fillId="6" borderId="38" xfId="0" applyFill="1" applyBorder="1" applyAlignment="1" applyProtection="1">
      <alignment horizontal="center" vertical="center"/>
    </xf>
    <xf numFmtId="38" fontId="0" fillId="6" borderId="0" xfId="1" applyFont="1" applyFill="1" applyBorder="1" applyProtection="1">
      <alignment vertical="center"/>
    </xf>
    <xf numFmtId="0" fontId="52" fillId="0" borderId="0" xfId="0" applyFont="1">
      <alignment vertical="center"/>
    </xf>
    <xf numFmtId="186" fontId="0" fillId="0" borderId="1" xfId="1" applyNumberFormat="1" applyFont="1" applyFill="1" applyBorder="1" applyAlignment="1" applyProtection="1">
      <alignment vertical="center" shrinkToFit="1"/>
      <protection locked="0"/>
    </xf>
    <xf numFmtId="38" fontId="0" fillId="6" borderId="41" xfId="1" applyFont="1" applyFill="1" applyBorder="1" applyAlignment="1" applyProtection="1">
      <alignment vertical="center" shrinkToFit="1"/>
    </xf>
    <xf numFmtId="38" fontId="0" fillId="6" borderId="44" xfId="1" applyFont="1" applyFill="1" applyBorder="1" applyAlignment="1" applyProtection="1">
      <alignment vertical="center" shrinkToFit="1"/>
    </xf>
    <xf numFmtId="38" fontId="0" fillId="6" borderId="35" xfId="1" applyFont="1" applyFill="1" applyBorder="1" applyAlignment="1" applyProtection="1">
      <alignment vertical="center" shrinkToFit="1"/>
    </xf>
    <xf numFmtId="0" fontId="0" fillId="6" borderId="12" xfId="0" applyFill="1" applyBorder="1" applyProtection="1">
      <alignment vertical="center"/>
    </xf>
    <xf numFmtId="0" fontId="0" fillId="6" borderId="12" xfId="0" applyFill="1" applyBorder="1">
      <alignment vertical="center"/>
    </xf>
    <xf numFmtId="0" fontId="44" fillId="6" borderId="12" xfId="0" applyFont="1" applyFill="1" applyBorder="1">
      <alignment vertical="center"/>
    </xf>
    <xf numFmtId="0" fontId="9" fillId="3" borderId="5" xfId="0" applyFont="1" applyFill="1" applyBorder="1" applyAlignment="1" applyProtection="1">
      <alignment horizontal="center" vertical="center" wrapText="1"/>
    </xf>
    <xf numFmtId="38" fontId="0" fillId="6" borderId="49" xfId="1" applyFont="1" applyFill="1" applyBorder="1" applyAlignment="1" applyProtection="1">
      <alignment vertical="center" shrinkToFit="1"/>
    </xf>
    <xf numFmtId="38" fontId="0" fillId="6" borderId="50" xfId="1" applyFont="1" applyFill="1" applyBorder="1" applyAlignment="1" applyProtection="1">
      <alignment vertical="center" shrinkToFit="1"/>
    </xf>
    <xf numFmtId="38" fontId="0" fillId="6" borderId="24" xfId="1" applyFont="1" applyFill="1" applyBorder="1" applyAlignment="1" applyProtection="1">
      <alignment vertical="center" shrinkToFit="1"/>
    </xf>
    <xf numFmtId="0" fontId="9" fillId="3" borderId="28"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0" fontId="13" fillId="2" borderId="0" xfId="0" applyFont="1" applyFill="1" applyBorder="1" applyAlignment="1" applyProtection="1">
      <alignment horizontal="right" vertical="center"/>
    </xf>
    <xf numFmtId="38" fontId="0" fillId="5" borderId="36" xfId="1" applyFont="1" applyFill="1" applyBorder="1" applyAlignment="1" applyProtection="1">
      <alignment vertical="center" shrinkToFit="1"/>
    </xf>
    <xf numFmtId="38" fontId="0" fillId="5" borderId="52" xfId="1" applyFont="1" applyFill="1" applyBorder="1" applyAlignment="1" applyProtection="1">
      <alignment vertical="center" shrinkToFit="1"/>
    </xf>
    <xf numFmtId="38" fontId="0" fillId="5" borderId="53" xfId="1" applyFont="1" applyFill="1" applyBorder="1" applyAlignment="1" applyProtection="1">
      <alignment vertical="center" shrinkToFit="1"/>
    </xf>
    <xf numFmtId="38" fontId="0" fillId="5" borderId="54" xfId="1" applyFont="1" applyFill="1" applyBorder="1" applyAlignment="1" applyProtection="1">
      <alignment vertical="center" shrinkToFit="1"/>
    </xf>
    <xf numFmtId="0" fontId="0" fillId="12" borderId="0" xfId="0" applyFill="1" applyBorder="1" applyAlignment="1" applyProtection="1">
      <alignment horizontal="center" vertical="center" shrinkToFit="1"/>
    </xf>
    <xf numFmtId="0" fontId="0" fillId="6" borderId="0" xfId="0" applyFill="1" applyBorder="1" applyAlignment="1">
      <alignment horizontal="center" vertical="center"/>
    </xf>
    <xf numFmtId="0" fontId="9" fillId="3" borderId="1" xfId="0" applyFont="1" applyFill="1" applyBorder="1" applyAlignment="1" applyProtection="1">
      <alignment horizontal="centerContinuous" vertical="center" wrapText="1"/>
    </xf>
    <xf numFmtId="187" fontId="5" fillId="0" borderId="0" xfId="0" applyNumberFormat="1" applyFont="1" applyAlignment="1" applyProtection="1">
      <alignment vertical="center" shrinkToFit="1"/>
    </xf>
    <xf numFmtId="57" fontId="0" fillId="2" borderId="0" xfId="0" applyNumberFormat="1" applyFill="1" applyBorder="1" applyProtection="1">
      <alignment vertical="center"/>
    </xf>
    <xf numFmtId="0" fontId="9" fillId="3" borderId="28" xfId="0" applyFont="1" applyFill="1" applyBorder="1" applyAlignment="1">
      <alignment vertical="center" wrapText="1" shrinkToFit="1"/>
    </xf>
    <xf numFmtId="0" fontId="9" fillId="3" borderId="7"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38" fontId="9" fillId="3" borderId="1" xfId="1" applyFont="1" applyFill="1" applyBorder="1" applyAlignment="1" applyProtection="1">
      <alignment horizontal="justify" vertical="center" wrapText="1" shrinkToFit="1"/>
    </xf>
    <xf numFmtId="38" fontId="0" fillId="6" borderId="0" xfId="1" applyFont="1" applyFill="1" applyBorder="1" applyAlignment="1" applyProtection="1">
      <alignment vertical="center" shrinkToFit="1"/>
    </xf>
    <xf numFmtId="0" fontId="4" fillId="6" borderId="0" xfId="0" applyFont="1" applyFill="1" applyAlignment="1" applyProtection="1">
      <alignment horizontal="right" vertical="center"/>
    </xf>
    <xf numFmtId="0" fontId="0" fillId="6" borderId="0" xfId="0" applyFill="1" applyAlignment="1" applyProtection="1">
      <alignment horizontal="center" vertical="center"/>
    </xf>
    <xf numFmtId="0" fontId="0" fillId="6" borderId="0" xfId="0" applyFill="1" applyAlignment="1" applyProtection="1">
      <alignment horizontal="center" vertical="center" shrinkToFit="1"/>
    </xf>
    <xf numFmtId="38" fontId="0" fillId="6" borderId="6" xfId="1" applyFont="1" applyFill="1" applyBorder="1" applyAlignment="1" applyProtection="1">
      <alignment vertical="center" shrinkToFit="1"/>
    </xf>
    <xf numFmtId="38" fontId="0" fillId="6" borderId="8" xfId="1" applyFont="1" applyFill="1" applyBorder="1" applyProtection="1">
      <alignment vertical="center"/>
    </xf>
    <xf numFmtId="0" fontId="0" fillId="3" borderId="1" xfId="0" applyFill="1" applyBorder="1" applyAlignment="1" applyProtection="1">
      <alignment horizontal="center" vertical="center"/>
    </xf>
    <xf numFmtId="0" fontId="0" fillId="6" borderId="1" xfId="0" applyFill="1" applyBorder="1" applyProtection="1">
      <alignment vertical="center"/>
    </xf>
    <xf numFmtId="0" fontId="0" fillId="6" borderId="0" xfId="0" applyFill="1" applyBorder="1" applyAlignment="1">
      <alignment vertical="center" shrinkToFit="1"/>
    </xf>
    <xf numFmtId="14" fontId="0" fillId="6" borderId="0" xfId="0" applyNumberFormat="1" applyFill="1" applyBorder="1" applyAlignment="1">
      <alignment vertical="center" shrinkToFit="1"/>
    </xf>
    <xf numFmtId="0" fontId="0" fillId="6" borderId="0" xfId="0" quotePrefix="1" applyFill="1" applyBorder="1" applyAlignment="1">
      <alignment vertical="center" shrinkToFit="1"/>
    </xf>
    <xf numFmtId="14" fontId="0" fillId="6" borderId="1" xfId="0" applyNumberFormat="1" applyFill="1" applyBorder="1" applyAlignment="1">
      <alignment horizontal="right" vertical="center" shrinkToFit="1"/>
    </xf>
    <xf numFmtId="188" fontId="0" fillId="6" borderId="1" xfId="0" applyNumberFormat="1" applyFill="1" applyBorder="1" applyAlignment="1">
      <alignment horizontal="right" vertical="center"/>
    </xf>
    <xf numFmtId="14" fontId="0" fillId="6" borderId="1" xfId="0" applyNumberFormat="1" applyFill="1" applyBorder="1">
      <alignment vertical="center"/>
    </xf>
    <xf numFmtId="0" fontId="5" fillId="3" borderId="1" xfId="0" applyFont="1" applyFill="1" applyBorder="1" applyAlignment="1">
      <alignment horizontal="center" vertical="center" wrapText="1" shrinkToFit="1"/>
    </xf>
    <xf numFmtId="0" fontId="9" fillId="3" borderId="1" xfId="0" applyFont="1" applyFill="1" applyBorder="1" applyAlignment="1">
      <alignment vertical="center" wrapText="1"/>
    </xf>
    <xf numFmtId="0" fontId="0" fillId="6" borderId="1" xfId="0" applyFill="1" applyBorder="1" applyAlignment="1">
      <alignment horizontal="center" vertical="center"/>
    </xf>
    <xf numFmtId="0" fontId="9"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4" fillId="3" borderId="1" xfId="0" applyFont="1" applyFill="1" applyBorder="1" applyAlignment="1">
      <alignment horizontal="center" vertical="center" shrinkToFit="1"/>
    </xf>
    <xf numFmtId="0" fontId="0" fillId="3" borderId="5" xfId="0"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66" xfId="0" applyFill="1" applyBorder="1" applyAlignment="1">
      <alignment horizontal="center" vertical="center"/>
    </xf>
    <xf numFmtId="0" fontId="0" fillId="5" borderId="70" xfId="0" applyFill="1" applyBorder="1" applyAlignment="1">
      <alignment vertical="center" shrinkToFit="1"/>
    </xf>
    <xf numFmtId="38" fontId="0" fillId="5" borderId="29" xfId="1" applyFont="1" applyFill="1" applyBorder="1">
      <alignment vertical="center"/>
    </xf>
    <xf numFmtId="0" fontId="0" fillId="16" borderId="5" xfId="0" applyFill="1" applyBorder="1" applyAlignment="1" applyProtection="1">
      <alignment horizontal="center" vertical="center"/>
      <protection locked="0"/>
    </xf>
    <xf numFmtId="38" fontId="0" fillId="16" borderId="1" xfId="1" applyFont="1" applyFill="1" applyBorder="1" applyProtection="1">
      <alignment vertical="center"/>
    </xf>
    <xf numFmtId="0" fontId="0" fillId="16" borderId="1" xfId="0" applyFill="1" applyBorder="1" applyProtection="1">
      <alignment vertical="center"/>
    </xf>
    <xf numFmtId="38" fontId="0" fillId="16" borderId="1" xfId="1" applyFont="1" applyFill="1" applyBorder="1" applyAlignment="1" applyProtection="1">
      <alignment horizontal="center" vertical="center"/>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5" borderId="38" xfId="0" applyFill="1" applyBorder="1" applyAlignment="1">
      <alignment horizontal="center" vertical="center" shrinkToFit="1"/>
    </xf>
    <xf numFmtId="0" fontId="0" fillId="3" borderId="25" xfId="0" applyFill="1" applyBorder="1" applyAlignment="1">
      <alignment horizontal="center" vertical="center"/>
    </xf>
    <xf numFmtId="0" fontId="0" fillId="3" borderId="25"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32" xfId="0" applyFill="1" applyBorder="1" applyAlignment="1">
      <alignment horizontal="center" vertical="center" shrinkToFit="1"/>
    </xf>
    <xf numFmtId="38" fontId="0" fillId="6" borderId="0" xfId="1" applyFont="1" applyFill="1" applyProtection="1">
      <alignment vertical="center"/>
    </xf>
    <xf numFmtId="0" fontId="0" fillId="6" borderId="0" xfId="0" applyFill="1" applyAlignment="1" applyProtection="1">
      <alignment vertical="center" shrinkToFit="1"/>
    </xf>
    <xf numFmtId="38" fontId="0" fillId="6" borderId="1" xfId="0" applyNumberFormat="1" applyFill="1" applyBorder="1">
      <alignment vertical="center"/>
    </xf>
    <xf numFmtId="0" fontId="0" fillId="6" borderId="25" xfId="0" applyFill="1" applyBorder="1" applyAlignment="1">
      <alignment horizontal="center" vertical="center" shrinkToFit="1"/>
    </xf>
    <xf numFmtId="38" fontId="0" fillId="17" borderId="67" xfId="1" applyFont="1" applyFill="1" applyBorder="1" applyAlignment="1" applyProtection="1">
      <alignment vertical="center" shrinkToFit="1"/>
      <protection locked="0"/>
    </xf>
    <xf numFmtId="38" fontId="0" fillId="17" borderId="68" xfId="1" applyFont="1" applyFill="1" applyBorder="1" applyAlignment="1" applyProtection="1">
      <alignment vertical="center" shrinkToFit="1"/>
      <protection locked="0"/>
    </xf>
    <xf numFmtId="38" fontId="0" fillId="17" borderId="69" xfId="1" applyFont="1" applyFill="1" applyBorder="1" applyAlignment="1" applyProtection="1">
      <alignment vertical="center" shrinkToFit="1"/>
      <protection locked="0"/>
    </xf>
    <xf numFmtId="0" fontId="0" fillId="6" borderId="36" xfId="0" applyFill="1" applyBorder="1" applyAlignment="1" applyProtection="1">
      <alignment horizontal="center" vertical="center"/>
    </xf>
    <xf numFmtId="0" fontId="4" fillId="6" borderId="1" xfId="0" applyFont="1" applyFill="1" applyBorder="1" applyAlignment="1" applyProtection="1">
      <alignment horizontal="center" vertical="center"/>
    </xf>
    <xf numFmtId="38" fontId="0" fillId="5" borderId="14" xfId="1" applyFont="1" applyFill="1" applyBorder="1" applyProtection="1">
      <alignment vertical="center"/>
    </xf>
    <xf numFmtId="0" fontId="0" fillId="3" borderId="26" xfId="0" applyFill="1" applyBorder="1" applyAlignment="1" applyProtection="1">
      <alignment vertical="center" shrinkToFit="1"/>
    </xf>
    <xf numFmtId="38" fontId="0" fillId="6" borderId="1" xfId="1" applyFont="1" applyFill="1" applyBorder="1" applyAlignment="1" applyProtection="1">
      <alignment vertical="center" shrinkToFit="1"/>
    </xf>
    <xf numFmtId="38" fontId="0" fillId="6" borderId="14" xfId="1" applyFont="1" applyFill="1" applyBorder="1" applyProtection="1">
      <alignment vertical="center"/>
    </xf>
    <xf numFmtId="38" fontId="0" fillId="6" borderId="5" xfId="1" applyFont="1" applyFill="1" applyBorder="1" applyProtection="1">
      <alignment vertical="center"/>
    </xf>
    <xf numFmtId="0" fontId="13" fillId="3" borderId="5" xfId="0" applyFont="1" applyFill="1" applyBorder="1" applyAlignment="1" applyProtection="1">
      <alignment horizontal="centerContinuous" vertical="center" wrapText="1" shrinkToFit="1"/>
    </xf>
    <xf numFmtId="0" fontId="54" fillId="6" borderId="0" xfId="2" applyFill="1" applyBorder="1">
      <alignment vertical="center"/>
    </xf>
    <xf numFmtId="0" fontId="9" fillId="16" borderId="36" xfId="0" applyFont="1" applyFill="1" applyBorder="1" applyAlignment="1">
      <alignment horizontal="center" vertical="center" shrinkToFit="1"/>
    </xf>
    <xf numFmtId="0" fontId="9" fillId="16" borderId="37" xfId="0" applyFont="1" applyFill="1" applyBorder="1" applyAlignment="1">
      <alignment horizontal="center" vertical="center" shrinkToFit="1"/>
    </xf>
    <xf numFmtId="0" fontId="0" fillId="16" borderId="37" xfId="0" applyFill="1" applyBorder="1" applyAlignment="1">
      <alignment horizontal="center" vertical="center" shrinkToFit="1"/>
    </xf>
    <xf numFmtId="0" fontId="0" fillId="16" borderId="26" xfId="0" applyFill="1" applyBorder="1" applyAlignment="1">
      <alignment horizontal="center" vertical="center" shrinkToFit="1"/>
    </xf>
    <xf numFmtId="0" fontId="0" fillId="18" borderId="61" xfId="0" applyFill="1" applyBorder="1">
      <alignment vertical="center"/>
    </xf>
    <xf numFmtId="0" fontId="0" fillId="18" borderId="50" xfId="0" applyFill="1" applyBorder="1">
      <alignment vertical="center"/>
    </xf>
    <xf numFmtId="0" fontId="0" fillId="18" borderId="62" xfId="0" applyFill="1" applyBorder="1">
      <alignment vertical="center"/>
    </xf>
    <xf numFmtId="0" fontId="0" fillId="18" borderId="36" xfId="0" applyFill="1" applyBorder="1" applyAlignment="1" applyProtection="1">
      <alignment vertical="center" shrinkToFit="1"/>
      <protection locked="0"/>
    </xf>
    <xf numFmtId="0" fontId="0" fillId="18" borderId="37" xfId="0" applyFill="1" applyBorder="1" applyAlignment="1" applyProtection="1">
      <alignment vertical="center" shrinkToFit="1"/>
      <protection locked="0"/>
    </xf>
    <xf numFmtId="0" fontId="0" fillId="18" borderId="38" xfId="0" applyFill="1" applyBorder="1" applyAlignment="1" applyProtection="1">
      <alignment vertical="center" shrinkToFit="1"/>
      <protection locked="0"/>
    </xf>
    <xf numFmtId="0" fontId="31" fillId="18" borderId="27" xfId="0" applyFont="1" applyFill="1" applyBorder="1" applyAlignment="1" applyProtection="1">
      <alignment horizontal="center" vertical="center" shrinkToFit="1"/>
      <protection locked="0"/>
    </xf>
    <xf numFmtId="182" fontId="0" fillId="18" borderId="30" xfId="0" applyNumberFormat="1" applyFill="1" applyBorder="1" applyProtection="1">
      <alignment vertical="center"/>
      <protection locked="0"/>
    </xf>
    <xf numFmtId="182" fontId="0" fillId="18" borderId="27" xfId="0" applyNumberFormat="1" applyFill="1" applyBorder="1" applyProtection="1">
      <alignment vertical="center"/>
      <protection locked="0"/>
    </xf>
    <xf numFmtId="182" fontId="0" fillId="18" borderId="31" xfId="0" applyNumberFormat="1" applyFill="1" applyBorder="1" applyProtection="1">
      <alignment vertical="center"/>
      <protection locked="0"/>
    </xf>
    <xf numFmtId="178" fontId="0" fillId="18" borderId="27" xfId="0" applyNumberFormat="1" applyFill="1" applyBorder="1" applyProtection="1">
      <alignment vertical="center"/>
      <protection locked="0"/>
    </xf>
    <xf numFmtId="179" fontId="0" fillId="18" borderId="27" xfId="0" applyNumberFormat="1" applyFill="1" applyBorder="1" applyProtection="1">
      <alignment vertical="center"/>
      <protection locked="0"/>
    </xf>
    <xf numFmtId="179" fontId="0" fillId="18" borderId="27" xfId="0" applyNumberFormat="1" applyFill="1" applyBorder="1" applyAlignment="1" applyProtection="1">
      <alignment horizontal="center" vertical="center"/>
      <protection locked="0"/>
    </xf>
    <xf numFmtId="0" fontId="4" fillId="18" borderId="27" xfId="0" applyFont="1" applyFill="1" applyBorder="1" applyAlignment="1" applyProtection="1">
      <alignment horizontal="center" vertical="center"/>
      <protection locked="0"/>
    </xf>
    <xf numFmtId="38" fontId="0" fillId="18" borderId="27" xfId="1" applyFont="1" applyFill="1" applyBorder="1" applyAlignment="1" applyProtection="1">
      <alignment horizontal="center" vertical="center"/>
      <protection locked="0"/>
    </xf>
    <xf numFmtId="0" fontId="0" fillId="19" borderId="0" xfId="0" applyFill="1">
      <alignment vertical="center"/>
    </xf>
    <xf numFmtId="0" fontId="3" fillId="19" borderId="0" xfId="0" applyFont="1" applyFill="1" applyAlignment="1" applyProtection="1">
      <alignment horizontal="right" vertical="center"/>
      <protection locked="0"/>
    </xf>
    <xf numFmtId="0" fontId="3" fillId="19" borderId="25" xfId="0" applyFont="1" applyFill="1" applyBorder="1" applyAlignment="1" applyProtection="1">
      <alignment horizontal="center" vertical="center"/>
      <protection locked="0"/>
    </xf>
    <xf numFmtId="0" fontId="3" fillId="19" borderId="1" xfId="0" applyFont="1" applyFill="1" applyBorder="1" applyAlignment="1" applyProtection="1">
      <alignment horizontal="center" vertical="center"/>
      <protection locked="0"/>
    </xf>
    <xf numFmtId="0" fontId="3" fillId="19" borderId="0" xfId="0" applyFont="1" applyFill="1" applyAlignment="1" applyProtection="1">
      <alignment horizontal="center" vertical="center"/>
      <protection locked="0"/>
    </xf>
    <xf numFmtId="38" fontId="3" fillId="19" borderId="1" xfId="1" applyFont="1" applyFill="1" applyBorder="1" applyAlignment="1" applyProtection="1">
      <alignment vertical="center" shrinkToFit="1"/>
      <protection locked="0"/>
    </xf>
    <xf numFmtId="38" fontId="3" fillId="19" borderId="23" xfId="1" applyFont="1" applyFill="1" applyBorder="1" applyAlignment="1" applyProtection="1">
      <alignment vertical="center" shrinkToFit="1"/>
      <protection locked="0"/>
    </xf>
    <xf numFmtId="38" fontId="3" fillId="19" borderId="23" xfId="1" applyFont="1" applyFill="1" applyBorder="1" applyAlignment="1" applyProtection="1">
      <alignment vertical="center" shrinkToFit="1"/>
    </xf>
    <xf numFmtId="38" fontId="3" fillId="19" borderId="0" xfId="1" applyFont="1" applyFill="1" applyAlignment="1" applyProtection="1">
      <alignment horizontal="right" vertical="center"/>
      <protection locked="0"/>
    </xf>
    <xf numFmtId="38" fontId="0" fillId="18" borderId="40" xfId="1" applyFont="1" applyFill="1" applyBorder="1" applyAlignment="1" applyProtection="1">
      <alignment vertical="center" shrinkToFit="1"/>
      <protection locked="0"/>
    </xf>
    <xf numFmtId="38" fontId="0" fillId="18" borderId="43" xfId="1" applyFont="1" applyFill="1" applyBorder="1" applyAlignment="1" applyProtection="1">
      <alignment vertical="center" shrinkToFit="1"/>
      <protection locked="0"/>
    </xf>
    <xf numFmtId="38" fontId="0" fillId="18" borderId="63" xfId="1" applyFont="1" applyFill="1" applyBorder="1" applyAlignment="1" applyProtection="1">
      <alignment vertical="center" shrinkToFit="1"/>
      <protection locked="0"/>
    </xf>
    <xf numFmtId="38" fontId="0" fillId="18" borderId="40" xfId="1" applyFont="1" applyFill="1" applyBorder="1" applyAlignment="1" applyProtection="1">
      <alignment horizontal="left" vertical="center" shrinkToFit="1"/>
      <protection locked="0"/>
    </xf>
    <xf numFmtId="38" fontId="0" fillId="18" borderId="29" xfId="1" applyFont="1" applyFill="1" applyBorder="1" applyAlignment="1" applyProtection="1">
      <alignment horizontal="left" vertical="center" shrinkToFit="1"/>
      <protection locked="0"/>
    </xf>
    <xf numFmtId="0" fontId="0" fillId="17" borderId="40" xfId="0" applyFill="1" applyBorder="1" applyAlignment="1" applyProtection="1">
      <alignment horizontal="left" vertical="center"/>
      <protection locked="0"/>
    </xf>
    <xf numFmtId="0" fontId="0" fillId="17" borderId="43" xfId="0" applyFill="1" applyBorder="1" applyAlignment="1" applyProtection="1">
      <alignment horizontal="left" vertical="center"/>
      <protection locked="0"/>
    </xf>
    <xf numFmtId="0" fontId="0" fillId="17" borderId="46" xfId="0" applyFill="1" applyBorder="1" applyAlignment="1" applyProtection="1">
      <alignment horizontal="left" vertical="center"/>
      <protection locked="0"/>
    </xf>
    <xf numFmtId="0" fontId="21" fillId="18" borderId="40" xfId="0" applyFont="1" applyFill="1" applyBorder="1" applyProtection="1">
      <alignment vertical="center"/>
      <protection locked="0"/>
    </xf>
    <xf numFmtId="0" fontId="21" fillId="18" borderId="43" xfId="0" applyFont="1" applyFill="1" applyBorder="1" applyProtection="1">
      <alignment vertical="center"/>
      <protection locked="0"/>
    </xf>
    <xf numFmtId="0" fontId="21" fillId="18" borderId="46" xfId="0" applyFont="1" applyFill="1" applyBorder="1" applyProtection="1">
      <alignment vertical="center"/>
      <protection locked="0"/>
    </xf>
    <xf numFmtId="0" fontId="4" fillId="3" borderId="1" xfId="0" applyFont="1" applyFill="1" applyBorder="1" applyAlignment="1">
      <alignment vertical="center" wrapText="1"/>
    </xf>
    <xf numFmtId="38" fontId="0" fillId="6" borderId="71" xfId="1" applyFont="1" applyFill="1" applyBorder="1" applyAlignment="1" applyProtection="1">
      <alignment vertical="center" shrinkToFit="1"/>
    </xf>
    <xf numFmtId="38" fontId="0" fillId="6" borderId="72" xfId="1" applyFont="1" applyFill="1" applyBorder="1" applyAlignment="1" applyProtection="1">
      <alignment vertical="center" shrinkToFit="1"/>
    </xf>
    <xf numFmtId="38" fontId="0" fillId="6" borderId="73" xfId="1" applyFont="1" applyFill="1" applyBorder="1" applyAlignment="1" applyProtection="1">
      <alignment vertical="center" shrinkToFit="1"/>
    </xf>
    <xf numFmtId="185" fontId="0" fillId="6" borderId="71" xfId="1" applyNumberFormat="1" applyFont="1" applyFill="1" applyBorder="1">
      <alignment vertical="center"/>
    </xf>
    <xf numFmtId="185" fontId="0" fillId="6" borderId="72" xfId="1" applyNumberFormat="1" applyFont="1" applyFill="1" applyBorder="1">
      <alignment vertical="center"/>
    </xf>
    <xf numFmtId="185" fontId="0" fillId="6" borderId="73" xfId="1" applyNumberFormat="1" applyFont="1" applyFill="1" applyBorder="1">
      <alignment vertical="center"/>
    </xf>
    <xf numFmtId="190" fontId="0" fillId="5" borderId="5" xfId="1" applyNumberFormat="1" applyFont="1" applyFill="1" applyBorder="1" applyAlignment="1">
      <alignment vertical="center" shrinkToFit="1"/>
    </xf>
    <xf numFmtId="190" fontId="0" fillId="6" borderId="1" xfId="0" applyNumberFormat="1" applyFill="1" applyBorder="1" applyProtection="1">
      <alignment vertical="center"/>
    </xf>
    <xf numFmtId="0" fontId="0" fillId="8" borderId="0" xfId="0" applyFill="1" applyBorder="1" applyProtection="1">
      <alignment vertical="center"/>
    </xf>
    <xf numFmtId="0" fontId="4" fillId="8" borderId="0" xfId="0" applyFont="1" applyFill="1" applyBorder="1" applyProtection="1">
      <alignment vertical="center"/>
    </xf>
    <xf numFmtId="57" fontId="0" fillId="8" borderId="0" xfId="0" applyNumberFormat="1" applyFill="1" applyBorder="1" applyAlignment="1" applyProtection="1">
      <alignment horizontal="center" vertical="center"/>
    </xf>
    <xf numFmtId="189" fontId="4" fillId="2" borderId="0" xfId="0" applyNumberFormat="1" applyFont="1" applyFill="1" applyBorder="1" applyAlignment="1" applyProtection="1">
      <alignment horizontal="left" vertical="center" shrinkToFit="1"/>
    </xf>
    <xf numFmtId="0" fontId="0" fillId="0" borderId="0" xfId="0">
      <alignment vertical="center"/>
    </xf>
    <xf numFmtId="0" fontId="0" fillId="6" borderId="1" xfId="0" applyFill="1" applyBorder="1" applyProtection="1">
      <alignment vertical="center"/>
    </xf>
    <xf numFmtId="0" fontId="31" fillId="0" borderId="0" xfId="0" applyFont="1" applyProtection="1">
      <alignment vertical="center"/>
    </xf>
    <xf numFmtId="0" fontId="0" fillId="6" borderId="0" xfId="0" applyFill="1" applyBorder="1" applyAlignment="1" applyProtection="1">
      <alignment horizontal="center" vertical="center"/>
    </xf>
    <xf numFmtId="38" fontId="0" fillId="6" borderId="1" xfId="1" applyFont="1" applyFill="1" applyBorder="1" applyProtection="1">
      <alignment vertical="center"/>
    </xf>
    <xf numFmtId="0" fontId="0" fillId="3" borderId="26" xfId="0"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0" fillId="3" borderId="5" xfId="0" applyFill="1" applyBorder="1" applyAlignment="1" applyProtection="1">
      <alignment horizontal="center" vertical="center"/>
    </xf>
    <xf numFmtId="38" fontId="0" fillId="6" borderId="74" xfId="1" applyFont="1" applyFill="1" applyBorder="1" applyProtection="1">
      <alignment vertical="center"/>
    </xf>
    <xf numFmtId="0" fontId="0" fillId="3" borderId="74" xfId="0" applyFill="1" applyBorder="1" applyAlignment="1" applyProtection="1">
      <alignment vertical="center" shrinkToFit="1"/>
    </xf>
    <xf numFmtId="0" fontId="0" fillId="6" borderId="75" xfId="0" applyFill="1" applyBorder="1" applyProtection="1">
      <alignment vertical="center"/>
    </xf>
    <xf numFmtId="0" fontId="0" fillId="6" borderId="76" xfId="0" applyFill="1" applyBorder="1" applyProtection="1">
      <alignment vertical="center"/>
    </xf>
    <xf numFmtId="0" fontId="9" fillId="6" borderId="12" xfId="0" applyFont="1" applyFill="1" applyBorder="1" applyProtection="1">
      <alignment vertical="center"/>
    </xf>
    <xf numFmtId="0" fontId="0" fillId="0" borderId="78" xfId="0" applyFill="1" applyBorder="1" applyProtection="1">
      <alignment vertical="center"/>
    </xf>
    <xf numFmtId="0" fontId="31" fillId="0" borderId="78" xfId="0" quotePrefix="1" applyFont="1" applyFill="1" applyBorder="1" applyProtection="1">
      <alignment vertical="center"/>
    </xf>
    <xf numFmtId="0" fontId="0" fillId="0" borderId="77" xfId="0" applyFill="1" applyBorder="1" applyAlignment="1" applyProtection="1">
      <alignment horizontal="center" vertical="center"/>
    </xf>
    <xf numFmtId="0" fontId="0" fillId="0" borderId="79" xfId="0" applyFill="1" applyBorder="1" applyProtection="1">
      <alignment vertical="center"/>
    </xf>
    <xf numFmtId="0" fontId="18" fillId="0" borderId="77"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0" fillId="0" borderId="77" xfId="0" applyFill="1" applyBorder="1" applyProtection="1">
      <alignment vertical="center"/>
    </xf>
    <xf numFmtId="0" fontId="9" fillId="0" borderId="78" xfId="0" applyFont="1" applyFill="1" applyBorder="1" applyAlignment="1" applyProtection="1">
      <alignment horizontal="center" vertical="center"/>
    </xf>
    <xf numFmtId="0" fontId="9" fillId="0" borderId="78" xfId="0" applyFont="1" applyFill="1" applyBorder="1" applyAlignment="1" applyProtection="1">
      <alignment horizontal="right" vertical="center"/>
    </xf>
    <xf numFmtId="0" fontId="0" fillId="6" borderId="81" xfId="0" applyFill="1" applyBorder="1" applyAlignment="1" applyProtection="1">
      <alignment horizontal="center" vertical="center"/>
    </xf>
    <xf numFmtId="0" fontId="0" fillId="6" borderId="81" xfId="0" applyFill="1" applyBorder="1" applyProtection="1">
      <alignment vertical="center"/>
    </xf>
    <xf numFmtId="38" fontId="4" fillId="6" borderId="81" xfId="0" applyNumberFormat="1" applyFont="1" applyFill="1" applyBorder="1" applyAlignment="1" applyProtection="1">
      <alignment horizontal="center" vertical="center"/>
    </xf>
    <xf numFmtId="0" fontId="4" fillId="6" borderId="81" xfId="0" applyFont="1" applyFill="1" applyBorder="1" applyProtection="1">
      <alignment vertical="center"/>
    </xf>
    <xf numFmtId="38" fontId="4" fillId="6" borderId="81" xfId="0" applyNumberFormat="1" applyFont="1" applyFill="1" applyBorder="1" applyAlignment="1" applyProtection="1">
      <alignment horizontal="right" vertical="center"/>
    </xf>
    <xf numFmtId="0" fontId="0" fillId="6" borderId="80" xfId="0" applyFill="1" applyBorder="1" applyAlignment="1" applyProtection="1">
      <alignment horizontal="center" vertical="center"/>
    </xf>
    <xf numFmtId="0" fontId="18" fillId="6" borderId="81" xfId="0" applyFont="1" applyFill="1" applyBorder="1" applyAlignment="1" applyProtection="1">
      <alignment horizontal="center" vertical="center"/>
    </xf>
    <xf numFmtId="0" fontId="18" fillId="6" borderId="80" xfId="0" applyFont="1" applyFill="1" applyBorder="1" applyAlignment="1" applyProtection="1">
      <alignment horizontal="center" vertical="center"/>
    </xf>
    <xf numFmtId="0" fontId="0" fillId="6" borderId="80" xfId="0" applyFill="1" applyBorder="1" applyProtection="1">
      <alignment vertical="center"/>
    </xf>
    <xf numFmtId="0" fontId="21" fillId="6" borderId="0" xfId="0" applyFont="1" applyFill="1" applyProtection="1">
      <alignment vertical="center"/>
    </xf>
    <xf numFmtId="191" fontId="0" fillId="20" borderId="27" xfId="0" applyNumberFormat="1" applyFill="1" applyBorder="1" applyProtection="1">
      <alignment vertical="center"/>
      <protection locked="0"/>
    </xf>
    <xf numFmtId="0" fontId="4" fillId="6" borderId="0" xfId="0" applyFont="1" applyFill="1" applyAlignment="1" applyProtection="1">
      <alignment horizontal="right" vertical="center" shrinkToFit="1"/>
    </xf>
    <xf numFmtId="192" fontId="0" fillId="16" borderId="1" xfId="0" applyNumberFormat="1" applyFill="1" applyBorder="1" applyProtection="1">
      <alignment vertical="center"/>
    </xf>
    <xf numFmtId="0" fontId="0" fillId="0" borderId="0" xfId="0">
      <alignment vertical="center"/>
    </xf>
    <xf numFmtId="0" fontId="0" fillId="0" borderId="57" xfId="0" applyBorder="1">
      <alignment vertical="center"/>
    </xf>
    <xf numFmtId="0" fontId="0" fillId="15" borderId="59" xfId="0" applyFill="1" applyBorder="1" applyAlignment="1">
      <alignment horizontal="justify" vertical="center" wrapText="1"/>
    </xf>
    <xf numFmtId="0" fontId="0" fillId="15" borderId="37" xfId="0" applyFill="1" applyBorder="1" applyAlignment="1">
      <alignment horizontal="justify" vertical="center" wrapText="1"/>
    </xf>
    <xf numFmtId="0" fontId="0" fillId="15" borderId="60" xfId="0" applyFill="1" applyBorder="1" applyAlignment="1">
      <alignment horizontal="justify" vertical="center" wrapText="1"/>
    </xf>
    <xf numFmtId="0" fontId="52" fillId="0" borderId="0" xfId="0" applyFont="1">
      <alignment vertical="center"/>
    </xf>
    <xf numFmtId="0" fontId="52" fillId="0" borderId="0" xfId="0" applyFont="1" applyBorder="1">
      <alignment vertical="center"/>
    </xf>
    <xf numFmtId="0" fontId="51" fillId="14" borderId="0" xfId="0" applyFont="1" applyFill="1" applyAlignment="1">
      <alignment horizontal="center" vertical="center"/>
    </xf>
    <xf numFmtId="0" fontId="0" fillId="0" borderId="0" xfId="0" applyAlignment="1">
      <alignment horizontal="left" vertical="center" indent="1"/>
    </xf>
    <xf numFmtId="0" fontId="0" fillId="0" borderId="57" xfId="0" applyBorder="1" applyAlignment="1">
      <alignment horizontal="left" vertical="center" indent="1"/>
    </xf>
    <xf numFmtId="0" fontId="50" fillId="0" borderId="0" xfId="0" applyFont="1" applyAlignment="1">
      <alignment vertical="center" wrapText="1"/>
    </xf>
    <xf numFmtId="0" fontId="0" fillId="0" borderId="0" xfId="0" applyAlignment="1">
      <alignment vertical="center" wrapText="1"/>
    </xf>
    <xf numFmtId="0" fontId="0" fillId="18" borderId="61" xfId="0" applyFill="1" applyBorder="1">
      <alignment vertical="center"/>
    </xf>
    <xf numFmtId="0" fontId="0" fillId="18" borderId="50" xfId="0" applyFill="1" applyBorder="1">
      <alignment vertical="center"/>
    </xf>
    <xf numFmtId="0" fontId="0" fillId="18" borderId="62" xfId="0" applyFill="1" applyBorder="1">
      <alignment vertical="center"/>
    </xf>
    <xf numFmtId="0" fontId="47" fillId="11" borderId="1" xfId="0" applyFont="1" applyFill="1" applyBorder="1" applyAlignment="1" applyProtection="1">
      <alignment horizontal="center" vertical="center" wrapText="1" shrinkToFit="1"/>
    </xf>
    <xf numFmtId="0" fontId="9" fillId="2" borderId="21" xfId="0" applyFont="1" applyFill="1" applyBorder="1" applyAlignment="1" applyProtection="1">
      <alignment horizontal="center" vertical="center" shrinkToFit="1"/>
    </xf>
    <xf numFmtId="0" fontId="5" fillId="13" borderId="45" xfId="0" applyFont="1" applyFill="1" applyBorder="1" applyAlignment="1" applyProtection="1">
      <alignment horizontal="right" vertical="center"/>
    </xf>
    <xf numFmtId="0" fontId="5" fillId="13" borderId="35" xfId="0" applyFont="1" applyFill="1" applyBorder="1" applyAlignment="1" applyProtection="1">
      <alignment horizontal="right" vertical="center"/>
    </xf>
    <xf numFmtId="0" fontId="15" fillId="6" borderId="5" xfId="0" applyFont="1" applyFill="1" applyBorder="1" applyAlignment="1" applyProtection="1">
      <alignment horizontal="center" vertical="center"/>
    </xf>
    <xf numFmtId="0" fontId="15" fillId="6" borderId="23" xfId="0" applyFont="1" applyFill="1" applyBorder="1" applyAlignment="1" applyProtection="1">
      <alignment horizontal="center" vertical="center"/>
    </xf>
    <xf numFmtId="0" fontId="5" fillId="12" borderId="39" xfId="0" applyFont="1" applyFill="1" applyBorder="1" applyAlignment="1" applyProtection="1">
      <alignment horizontal="right" vertical="center"/>
    </xf>
    <xf numFmtId="0" fontId="5" fillId="12" borderId="41" xfId="0" applyFont="1" applyFill="1" applyBorder="1" applyAlignment="1" applyProtection="1">
      <alignment horizontal="right" vertical="center"/>
    </xf>
    <xf numFmtId="0" fontId="12" fillId="0" borderId="0" xfId="0" applyFont="1" applyBorder="1" applyAlignment="1" applyProtection="1">
      <alignment vertical="center" wrapText="1"/>
    </xf>
    <xf numFmtId="0" fontId="12" fillId="0" borderId="12" xfId="0" applyFont="1" applyBorder="1" applyAlignment="1" applyProtection="1">
      <alignment vertical="center" wrapText="1"/>
    </xf>
    <xf numFmtId="180" fontId="13" fillId="2" borderId="0" xfId="1" applyNumberFormat="1" applyFont="1" applyFill="1" applyBorder="1" applyAlignment="1" applyProtection="1">
      <alignment horizontal="right" vertical="center" shrinkToFit="1"/>
    </xf>
    <xf numFmtId="0" fontId="19" fillId="9" borderId="42" xfId="0" applyFont="1" applyFill="1" applyBorder="1" applyAlignment="1" applyProtection="1">
      <alignment horizontal="right" vertical="center"/>
    </xf>
    <xf numFmtId="0" fontId="19" fillId="9" borderId="44" xfId="0" applyFont="1" applyFill="1" applyBorder="1" applyAlignment="1" applyProtection="1">
      <alignment horizontal="right" vertical="center"/>
    </xf>
    <xf numFmtId="0" fontId="27" fillId="0" borderId="42" xfId="0" applyFont="1" applyBorder="1" applyAlignment="1" applyProtection="1">
      <alignment horizontal="left" vertical="center" indent="1" shrinkToFit="1"/>
    </xf>
    <xf numFmtId="0" fontId="27" fillId="0" borderId="50" xfId="0" applyFont="1" applyBorder="1" applyAlignment="1" applyProtection="1">
      <alignment horizontal="left" vertical="center" indent="1" shrinkToFit="1"/>
    </xf>
    <xf numFmtId="0" fontId="27" fillId="0" borderId="44" xfId="0" applyFont="1" applyBorder="1" applyAlignment="1" applyProtection="1">
      <alignment horizontal="left" vertical="center" indent="1" shrinkToFit="1"/>
    </xf>
    <xf numFmtId="0" fontId="27" fillId="0" borderId="45" xfId="0" applyFont="1" applyBorder="1" applyAlignment="1" applyProtection="1">
      <alignment horizontal="left" vertical="center" indent="1" shrinkToFit="1"/>
    </xf>
    <xf numFmtId="0" fontId="27" fillId="0" borderId="24" xfId="0" applyFont="1" applyBorder="1" applyAlignment="1" applyProtection="1">
      <alignment horizontal="left" vertical="center" indent="1" shrinkToFit="1"/>
    </xf>
    <xf numFmtId="0" fontId="27" fillId="0" borderId="35" xfId="0" applyFont="1" applyBorder="1" applyAlignment="1" applyProtection="1">
      <alignment horizontal="left" vertical="center" indent="1" shrinkToFit="1"/>
    </xf>
    <xf numFmtId="0" fontId="15" fillId="6" borderId="14" xfId="0" applyFont="1" applyFill="1" applyBorder="1" applyAlignment="1" applyProtection="1">
      <alignment horizontal="center" vertical="center"/>
    </xf>
    <xf numFmtId="0" fontId="5" fillId="12" borderId="49" xfId="0" applyFont="1" applyFill="1" applyBorder="1" applyAlignment="1" applyProtection="1">
      <alignment horizontal="right" vertical="center"/>
    </xf>
    <xf numFmtId="0" fontId="19" fillId="9" borderId="50" xfId="0" applyFont="1" applyFill="1" applyBorder="1" applyAlignment="1" applyProtection="1">
      <alignment horizontal="right" vertical="center"/>
    </xf>
    <xf numFmtId="0" fontId="5" fillId="13" borderId="24" xfId="0" applyFont="1" applyFill="1" applyBorder="1" applyAlignment="1" applyProtection="1">
      <alignment horizontal="right" vertical="center"/>
    </xf>
    <xf numFmtId="0" fontId="15" fillId="6" borderId="1" xfId="0" applyFont="1" applyFill="1" applyBorder="1" applyAlignment="1" applyProtection="1">
      <alignment horizontal="center" vertical="center"/>
    </xf>
    <xf numFmtId="0" fontId="5" fillId="12" borderId="36" xfId="0" applyFont="1" applyFill="1" applyBorder="1" applyAlignment="1" applyProtection="1">
      <alignment horizontal="right" vertical="center"/>
    </xf>
    <xf numFmtId="0" fontId="19" fillId="9" borderId="37" xfId="0" applyFont="1" applyFill="1" applyBorder="1" applyAlignment="1" applyProtection="1">
      <alignment horizontal="right" vertical="center"/>
    </xf>
    <xf numFmtId="0" fontId="5" fillId="13" borderId="38" xfId="0" applyFont="1" applyFill="1" applyBorder="1" applyAlignment="1" applyProtection="1">
      <alignment horizontal="right" vertical="center"/>
    </xf>
    <xf numFmtId="0" fontId="5" fillId="13" borderId="45" xfId="0" applyFont="1" applyFill="1" applyBorder="1" applyAlignment="1" applyProtection="1">
      <alignment horizontal="center" vertical="center"/>
    </xf>
    <xf numFmtId="0" fontId="5" fillId="13" borderId="24" xfId="0" applyFont="1" applyFill="1" applyBorder="1" applyAlignment="1" applyProtection="1">
      <alignment horizontal="center" vertical="center"/>
    </xf>
    <xf numFmtId="0" fontId="5" fillId="13" borderId="35" xfId="0" applyFont="1" applyFill="1" applyBorder="1" applyAlignment="1" applyProtection="1">
      <alignment horizontal="center" vertical="center"/>
    </xf>
    <xf numFmtId="0" fontId="5" fillId="12" borderId="39" xfId="0" applyFont="1" applyFill="1" applyBorder="1" applyAlignment="1" applyProtection="1">
      <alignment horizontal="center" vertical="center"/>
    </xf>
    <xf numFmtId="0" fontId="5" fillId="12" borderId="49" xfId="0" applyFont="1" applyFill="1" applyBorder="1" applyAlignment="1" applyProtection="1">
      <alignment horizontal="center" vertical="center"/>
    </xf>
    <xf numFmtId="0" fontId="5" fillId="12" borderId="41" xfId="0" applyFont="1" applyFill="1" applyBorder="1" applyAlignment="1" applyProtection="1">
      <alignment horizontal="center" vertical="center"/>
    </xf>
    <xf numFmtId="0" fontId="19" fillId="9" borderId="42" xfId="0" applyFont="1" applyFill="1" applyBorder="1" applyAlignment="1" applyProtection="1">
      <alignment horizontal="center" vertical="center"/>
    </xf>
    <xf numFmtId="0" fontId="19" fillId="9" borderId="50" xfId="0" applyFont="1" applyFill="1" applyBorder="1" applyAlignment="1" applyProtection="1">
      <alignment horizontal="center" vertical="center"/>
    </xf>
    <xf numFmtId="0" fontId="19" fillId="9" borderId="44" xfId="0"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23" xfId="0" applyFont="1" applyBorder="1" applyAlignment="1" applyProtection="1">
      <alignment horizontal="center" vertical="center"/>
    </xf>
    <xf numFmtId="0" fontId="27" fillId="0" borderId="39" xfId="0" applyFont="1" applyBorder="1" applyAlignment="1" applyProtection="1">
      <alignment horizontal="left" vertical="center" indent="1" shrinkToFit="1"/>
    </xf>
    <xf numFmtId="0" fontId="27" fillId="0" borderId="49" xfId="0" applyFont="1" applyBorder="1" applyAlignment="1" applyProtection="1">
      <alignment horizontal="left" vertical="center" indent="1" shrinkToFit="1"/>
    </xf>
    <xf numFmtId="0" fontId="27" fillId="0" borderId="41" xfId="0" applyFont="1" applyBorder="1" applyAlignment="1" applyProtection="1">
      <alignment horizontal="left" vertical="center" indent="1" shrinkToFit="1"/>
    </xf>
    <xf numFmtId="38" fontId="4" fillId="0" borderId="0" xfId="0" applyNumberFormat="1" applyFont="1" applyBorder="1" applyAlignment="1" applyProtection="1">
      <alignment vertical="center" shrinkToFit="1"/>
    </xf>
    <xf numFmtId="0" fontId="41" fillId="0" borderId="0" xfId="0" applyFont="1" applyBorder="1" applyAlignment="1" applyProtection="1">
      <alignment vertical="center" shrinkToFit="1"/>
    </xf>
    <xf numFmtId="0" fontId="11" fillId="4" borderId="34" xfId="0" applyFont="1" applyFill="1" applyBorder="1" applyAlignment="1" applyProtection="1">
      <alignment vertical="center" shrinkToFit="1"/>
    </xf>
    <xf numFmtId="38" fontId="49" fillId="4" borderId="34" xfId="0" applyNumberFormat="1" applyFont="1" applyFill="1" applyBorder="1" applyProtection="1">
      <alignment vertical="center"/>
    </xf>
    <xf numFmtId="38" fontId="25" fillId="4" borderId="34" xfId="0" applyNumberFormat="1" applyFont="1" applyFill="1" applyBorder="1" applyAlignment="1" applyProtection="1">
      <alignment horizontal="left" vertical="center"/>
    </xf>
    <xf numFmtId="0" fontId="17" fillId="0" borderId="8" xfId="0" applyFont="1" applyFill="1" applyBorder="1" applyAlignment="1" applyProtection="1">
      <alignment vertical="top"/>
    </xf>
    <xf numFmtId="0" fontId="10" fillId="7" borderId="2" xfId="0" applyFont="1" applyFill="1" applyBorder="1" applyAlignment="1" applyProtection="1">
      <alignment horizontal="center" vertical="center"/>
    </xf>
    <xf numFmtId="0" fontId="10" fillId="7" borderId="3" xfId="0" applyFont="1" applyFill="1" applyBorder="1" applyAlignment="1" applyProtection="1">
      <alignment horizontal="center" vertical="center"/>
    </xf>
    <xf numFmtId="0" fontId="10" fillId="7" borderId="4" xfId="0" applyFont="1" applyFill="1" applyBorder="1" applyAlignment="1" applyProtection="1">
      <alignment horizontal="center" vertical="center"/>
    </xf>
    <xf numFmtId="0" fontId="14" fillId="0" borderId="0" xfId="0" applyFont="1" applyAlignment="1" applyProtection="1">
      <alignment vertical="top" wrapText="1"/>
    </xf>
    <xf numFmtId="0" fontId="23" fillId="6" borderId="25" xfId="0" applyFont="1" applyFill="1" applyBorder="1" applyAlignment="1" applyProtection="1">
      <alignment horizontal="center" vertical="center" wrapText="1"/>
    </xf>
    <xf numFmtId="0" fontId="23" fillId="6" borderId="26" xfId="0" applyFont="1" applyFill="1" applyBorder="1" applyAlignment="1" applyProtection="1">
      <alignment horizontal="center" vertical="center" wrapText="1"/>
    </xf>
    <xf numFmtId="0" fontId="22" fillId="6" borderId="25" xfId="0" applyFont="1" applyFill="1" applyBorder="1" applyAlignment="1" applyProtection="1">
      <alignment horizontal="center" vertical="center"/>
    </xf>
    <xf numFmtId="0" fontId="22" fillId="6" borderId="26" xfId="0" applyFont="1" applyFill="1" applyBorder="1" applyAlignment="1" applyProtection="1">
      <alignment horizontal="center" vertical="center"/>
    </xf>
    <xf numFmtId="0" fontId="24" fillId="11" borderId="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wrapText="1"/>
    </xf>
    <xf numFmtId="180" fontId="9" fillId="2" borderId="0" xfId="1" applyNumberFormat="1" applyFont="1" applyFill="1" applyBorder="1" applyAlignment="1" applyProtection="1">
      <alignment horizontal="right" vertical="center" shrinkToFit="1"/>
    </xf>
    <xf numFmtId="0" fontId="9" fillId="2" borderId="0" xfId="0" applyFont="1" applyFill="1" applyBorder="1" applyAlignment="1" applyProtection="1">
      <alignment horizontal="center" vertical="center" shrinkToFit="1"/>
    </xf>
    <xf numFmtId="0" fontId="9" fillId="0" borderId="12" xfId="0" applyFont="1" applyFill="1" applyBorder="1" applyAlignment="1" applyProtection="1">
      <alignment horizontal="left" vertical="center" shrinkToFit="1"/>
    </xf>
    <xf numFmtId="0" fontId="9" fillId="0" borderId="13" xfId="0" applyFont="1" applyFill="1" applyBorder="1" applyAlignment="1" applyProtection="1">
      <alignment horizontal="left" vertical="center" shrinkToFit="1"/>
    </xf>
    <xf numFmtId="0" fontId="12" fillId="0" borderId="0" xfId="0" applyFont="1" applyAlignment="1" applyProtection="1">
      <alignment vertical="center" wrapText="1"/>
    </xf>
    <xf numFmtId="0" fontId="0" fillId="3" borderId="5" xfId="0" applyFill="1" applyBorder="1" applyAlignment="1" applyProtection="1">
      <alignment horizontal="center" vertical="center" shrinkToFit="1"/>
    </xf>
    <xf numFmtId="0" fontId="0" fillId="3" borderId="14" xfId="0" applyFill="1" applyBorder="1" applyAlignment="1" applyProtection="1">
      <alignment horizontal="center" vertical="center" shrinkToFit="1"/>
    </xf>
    <xf numFmtId="0" fontId="0" fillId="3" borderId="64" xfId="0" applyFill="1" applyBorder="1" applyAlignment="1" applyProtection="1">
      <alignment horizontal="center" vertical="center" shrinkToFit="1"/>
    </xf>
    <xf numFmtId="38" fontId="0" fillId="3" borderId="65" xfId="1" applyFont="1" applyFill="1" applyBorder="1" applyAlignment="1" applyProtection="1">
      <alignment horizontal="center" vertical="center" shrinkToFit="1"/>
    </xf>
    <xf numFmtId="38" fontId="0" fillId="3" borderId="14" xfId="1" applyFont="1" applyFill="1" applyBorder="1" applyAlignment="1" applyProtection="1">
      <alignment horizontal="center" vertical="center" shrinkToFit="1"/>
    </xf>
    <xf numFmtId="38" fontId="0" fillId="3" borderId="23" xfId="1" applyFont="1" applyFill="1" applyBorder="1" applyAlignment="1" applyProtection="1">
      <alignment horizontal="center" vertical="center" shrinkToFit="1"/>
    </xf>
    <xf numFmtId="0" fontId="42" fillId="6" borderId="33" xfId="0" applyFont="1" applyFill="1" applyBorder="1" applyAlignment="1">
      <alignment vertical="center" shrinkToFit="1"/>
    </xf>
    <xf numFmtId="0" fontId="42" fillId="6" borderId="6" xfId="0" applyFont="1" applyFill="1" applyBorder="1" applyAlignment="1">
      <alignment vertical="center" shrinkToFit="1"/>
    </xf>
    <xf numFmtId="0" fontId="0" fillId="3" borderId="1" xfId="0" applyFill="1" applyBorder="1" applyAlignment="1" applyProtection="1">
      <alignment horizontal="center" vertical="center"/>
    </xf>
    <xf numFmtId="0" fontId="0" fillId="6" borderId="1" xfId="0" quotePrefix="1" applyFill="1" applyBorder="1" applyProtection="1">
      <alignment vertical="center"/>
    </xf>
    <xf numFmtId="0" fontId="0" fillId="6" borderId="1" xfId="0" quotePrefix="1" applyFont="1" applyFill="1" applyBorder="1">
      <alignment vertical="center"/>
    </xf>
    <xf numFmtId="0" fontId="0" fillId="6" borderId="1" xfId="0" quotePrefix="1" applyFill="1" applyBorder="1">
      <alignment vertical="center"/>
    </xf>
    <xf numFmtId="0" fontId="0" fillId="6" borderId="1" xfId="0" applyFill="1" applyBorder="1" applyProtection="1">
      <alignment vertical="center"/>
    </xf>
  </cellXfs>
  <cellStyles count="3">
    <cellStyle name="ハイパーリンク" xfId="2" builtinId="8"/>
    <cellStyle name="桁区切り" xfId="1" builtinId="6"/>
    <cellStyle name="標準" xfId="0" builtinId="0"/>
  </cellStyles>
  <dxfs count="1">
    <dxf>
      <font>
        <strike val="0"/>
        <u/>
        <color auto="1"/>
      </font>
    </dxf>
  </dxfs>
  <tableStyles count="0" defaultTableStyle="TableStyleMedium2" defaultPivotStyle="PivotStyleLight16"/>
  <colors>
    <mruColors>
      <color rgb="FFFFD85D"/>
      <color rgb="FF0894EA"/>
      <color rgb="FF00B3F2"/>
      <color rgb="FF25C6FF"/>
      <color rgb="FFFFD44B"/>
      <color rgb="FFFFFFEB"/>
      <color rgb="FFFFFFCC"/>
      <color rgb="FFFEF2E8"/>
      <color rgb="FFE5F8FF"/>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4" dropStyle="combo" dx="16" fmlaLink="表!$B$11" fmlaRange="表!$A$2:$A$5" noThreeD="1" sel="1" val="0"/>
</file>

<file path=xl/ctrlProps/ctrlProp10.xml><?xml version="1.0" encoding="utf-8"?>
<formControlPr xmlns="http://schemas.microsoft.com/office/spreadsheetml/2009/9/main" objectType="CheckBox" fmlaLink="表!$C$14" lockText="1" noThreeD="1"/>
</file>

<file path=xl/ctrlProps/ctrlProp11.xml><?xml version="1.0" encoding="utf-8"?>
<formControlPr xmlns="http://schemas.microsoft.com/office/spreadsheetml/2009/9/main" objectType="CheckBox" fmlaLink="表!$C$15" lockText="1" noThreeD="1"/>
</file>

<file path=xl/ctrlProps/ctrlProp12.xml><?xml version="1.0" encoding="utf-8"?>
<formControlPr xmlns="http://schemas.microsoft.com/office/spreadsheetml/2009/9/main" objectType="CheckBox" fmlaLink="表!$C$16" lockText="1" noThreeD="1"/>
</file>

<file path=xl/ctrlProps/ctrlProp13.xml><?xml version="1.0" encoding="utf-8"?>
<formControlPr xmlns="http://schemas.microsoft.com/office/spreadsheetml/2009/9/main" objectType="CheckBox" fmlaLink="$E$53" noThreeD="1"/>
</file>

<file path=xl/ctrlProps/ctrlProp14.xml><?xml version="1.0" encoding="utf-8"?>
<formControlPr xmlns="http://schemas.microsoft.com/office/spreadsheetml/2009/9/main" objectType="CheckBox" fmlaLink="$E$54" noThreeD="1"/>
</file>

<file path=xl/ctrlProps/ctrlProp15.xml><?xml version="1.0" encoding="utf-8"?>
<formControlPr xmlns="http://schemas.microsoft.com/office/spreadsheetml/2009/9/main" objectType="CheckBox" fmlaLink="$E$55" noThreeD="1"/>
</file>

<file path=xl/ctrlProps/ctrlProp16.xml><?xml version="1.0" encoding="utf-8"?>
<formControlPr xmlns="http://schemas.microsoft.com/office/spreadsheetml/2009/9/main" objectType="CheckBox" fmlaLink="$E$56" noThreeD="1"/>
</file>

<file path=xl/ctrlProps/ctrlProp17.xml><?xml version="1.0" encoding="utf-8"?>
<formControlPr xmlns="http://schemas.microsoft.com/office/spreadsheetml/2009/9/main" objectType="CheckBox" fmlaLink="$E$57" noThreeD="1"/>
</file>

<file path=xl/ctrlProps/ctrlProp18.xml><?xml version="1.0" encoding="utf-8"?>
<formControlPr xmlns="http://schemas.microsoft.com/office/spreadsheetml/2009/9/main" objectType="CheckBox" fmlaLink="$E$58" noThreeD="1"/>
</file>

<file path=xl/ctrlProps/ctrlProp19.xml><?xml version="1.0" encoding="utf-8"?>
<formControlPr xmlns="http://schemas.microsoft.com/office/spreadsheetml/2009/9/main" objectType="CheckBox" fmlaLink="表!$T$14" lockText="1" noThreeD="1"/>
</file>

<file path=xl/ctrlProps/ctrlProp2.xml><?xml version="1.0" encoding="utf-8"?>
<formControlPr xmlns="http://schemas.microsoft.com/office/spreadsheetml/2009/9/main" objectType="Drop" dropLines="4" dropStyle="combo" dx="16" fmlaLink="表!$B$12" fmlaRange="表!$A$2:$A$5" noThreeD="1" sel="1" val="0"/>
</file>

<file path=xl/ctrlProps/ctrlProp20.xml><?xml version="1.0" encoding="utf-8"?>
<formControlPr xmlns="http://schemas.microsoft.com/office/spreadsheetml/2009/9/main" objectType="CheckBox" fmlaLink="表!$T$15" lockText="1" noThreeD="1"/>
</file>

<file path=xl/ctrlProps/ctrlProp21.xml><?xml version="1.0" encoding="utf-8"?>
<formControlPr xmlns="http://schemas.microsoft.com/office/spreadsheetml/2009/9/main" objectType="CheckBox" fmlaLink="表!$T$12" lockText="1" noThreeD="1"/>
</file>

<file path=xl/ctrlProps/ctrlProp22.xml><?xml version="1.0" encoding="utf-8"?>
<formControlPr xmlns="http://schemas.microsoft.com/office/spreadsheetml/2009/9/main" objectType="CheckBox" fmlaLink="表!$T$13" lockText="1" noThreeD="1"/>
</file>

<file path=xl/ctrlProps/ctrlProp23.xml><?xml version="1.0" encoding="utf-8"?>
<formControlPr xmlns="http://schemas.microsoft.com/office/spreadsheetml/2009/9/main" objectType="CheckBox" fmlaLink="表!$T$16" lockText="1" noThreeD="1"/>
</file>

<file path=xl/ctrlProps/ctrlProp24.xml><?xml version="1.0" encoding="utf-8"?>
<formControlPr xmlns="http://schemas.microsoft.com/office/spreadsheetml/2009/9/main" objectType="CheckBox" fmlaLink="表!$T$11" noThreeD="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3.xml><?xml version="1.0" encoding="utf-8"?>
<formControlPr xmlns="http://schemas.microsoft.com/office/spreadsheetml/2009/9/main" objectType="Drop" dropLines="4" dropStyle="combo" dx="16" fmlaLink="表!$B$13" fmlaRange="表!$A$2:$A$5" noThreeD="1" sel="1" val="0"/>
</file>

<file path=xl/ctrlProps/ctrlProp4.xml><?xml version="1.0" encoding="utf-8"?>
<formControlPr xmlns="http://schemas.microsoft.com/office/spreadsheetml/2009/9/main" objectType="Drop" dropLines="4" dropStyle="combo" dx="16" fmlaLink="表!$B$14" fmlaRange="表!$A$2:$A$5" noThreeD="1" sel="1" val="0"/>
</file>

<file path=xl/ctrlProps/ctrlProp5.xml><?xml version="1.0" encoding="utf-8"?>
<formControlPr xmlns="http://schemas.microsoft.com/office/spreadsheetml/2009/9/main" objectType="Drop" dropLines="4" dropStyle="combo" dx="16" fmlaLink="表!$B$15" fmlaRange="表!$A$2:$A$5" noThreeD="1" sel="1" val="0"/>
</file>

<file path=xl/ctrlProps/ctrlProp6.xml><?xml version="1.0" encoding="utf-8"?>
<formControlPr xmlns="http://schemas.microsoft.com/office/spreadsheetml/2009/9/main" objectType="Drop" dropLines="4" dropStyle="combo" dx="16" fmlaLink="表!$B$16" fmlaRange="表!$A$2:$A$5" noThreeD="1" sel="1" val="0"/>
</file>

<file path=xl/ctrlProps/ctrlProp7.xml><?xml version="1.0" encoding="utf-8"?>
<formControlPr xmlns="http://schemas.microsoft.com/office/spreadsheetml/2009/9/main" objectType="CheckBox" fmlaLink="表!$C$11" noThreeD="1"/>
</file>

<file path=xl/ctrlProps/ctrlProp8.xml><?xml version="1.0" encoding="utf-8"?>
<formControlPr xmlns="http://schemas.microsoft.com/office/spreadsheetml/2009/9/main" objectType="CheckBox" fmlaLink="表!$C$12" lockText="1" noThreeD="1"/>
</file>

<file path=xl/ctrlProps/ctrlProp9.xml><?xml version="1.0" encoding="utf-8"?>
<formControlPr xmlns="http://schemas.microsoft.com/office/spreadsheetml/2009/9/main" objectType="CheckBox" fmlaLink="表!$C$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99060</xdr:colOff>
      <xdr:row>3</xdr:row>
      <xdr:rowOff>65405</xdr:rowOff>
    </xdr:from>
    <xdr:to>
      <xdr:col>80</xdr:col>
      <xdr:colOff>48894</xdr:colOff>
      <xdr:row>16</xdr:row>
      <xdr:rowOff>632460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890260" y="720725"/>
          <a:ext cx="5741034" cy="4582795"/>
        </a:xfrm>
        <a:prstGeom prst="roundRect">
          <a:avLst>
            <a:gd name="adj" fmla="val 2032"/>
          </a:avLst>
        </a:prstGeom>
        <a:solidFill>
          <a:srgbClr val="FEF2E8"/>
        </a:solidFill>
        <a:ln w="25400" cap="flat" cmpd="sng" algn="ctr">
          <a:solidFill>
            <a:schemeClr val="accent6"/>
          </a:solidFill>
          <a:prstDash val="solid"/>
        </a:ln>
        <a:effectLst/>
      </xdr:spPr>
      <xdr:txBody>
        <a:bodyPr vertOverflow="clip" lIns="72000" tIns="36000" rIns="72000" bIns="36000" spcCol="72000" rtlCol="0" anchor="ctr" anchorCtr="0"/>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rPr>
            <a:t>※このエクセルで試算した保険料額は、実際の保険料額と異なることがあります。差異について、本市では責任を負いかねますので、御了承ください。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※次のいずれかの項目に該当する場合は、このシートでは正しく計算できません。</a:t>
          </a: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お手数ですが、お住いの区の区役所保険年金課へお問い合せください。</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（１）</a:t>
          </a:r>
          <a:r>
            <a:rPr lang="ja-JP" altLang="ja-JP" sz="1100" b="0" i="0" u="none" spc="0" baseline="0">
              <a:effectLst/>
              <a:latin typeface="+mn-lt"/>
              <a:ea typeface="+mn-ea"/>
              <a:cs typeface="+mn-cs"/>
            </a:rPr>
            <a:t>年度途中に加入者の所得や加入人数</a:t>
          </a:r>
          <a:r>
            <a:rPr lang="ja-JP" altLang="ja-JP" sz="1100" b="0" i="0" spc="0" baseline="0">
              <a:effectLst/>
              <a:latin typeface="+mn-lt"/>
              <a:ea typeface="+mn-ea"/>
              <a:cs typeface="+mn-cs"/>
            </a:rPr>
            <a:t>が変わる場合</a:t>
          </a:r>
          <a:endPar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（２）年度途中に加入者が40歳に到達し、介護保険第２号被保険者となる場合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（３）年度途中に加入者が65歳に到達し、介護保険第２号被保険者でなくなる(介護保険第１</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号被保険者となる)場合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（４）年度途中に加入者が後期高齢者医療制度に移行し、残った国民健康保険の加入者が</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１人となる場合（後期高齢者医療制度へ移行してから８年を経過する月までを含む）</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（５）世帯内に特定同一世帯所属者、未就学児、産前産後期間の保険料の軽減を受ける者</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ＭＳ Ｐゴシック" pitchFamily="50" charset="-128"/>
              <a:cs typeface="+mn-cs"/>
            </a:rPr>
            <a:t>　　　がいる場合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（６）年金収入があり、その方が令和６年１月２日以後に６５歳の誕生日を迎えた場合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（７）令和６年１月１日時点で６５歳未満の世帯主が国保に加入しない場合で、年金収入が</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ある場合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（８）所得金額調整控除がある場合や、給与所得の特定支出控除がある場合等</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（９）専従者給与がある場合、または専従者控除を必要経費に算入している場合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10</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）分離課税所得（土地・株式等の譲渡所得等）がある場合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11</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）被用者保険の被保険者本人が後期高齢者医療制度に移行したことで、被扶養者が国</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保加入（加入時に</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65</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歳以上の被扶養者のみ）した場合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12</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）倒産・解雇や雇い止めなどにより離職された方（非自発的失業者）に対する軽減措置</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の条件に該当する場合</a:t>
          </a:r>
          <a:endParaRPr kumimoji="0" lang="en-US" altLang="ja-JP" sz="1100" b="0" i="0" u="none" strike="noStrike" kern="0" cap="none" spc="0" normalizeH="0" baseline="0">
            <a:ln>
              <a:noFill/>
            </a:ln>
            <a:solidFill>
              <a:schemeClr val="tx1"/>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rPr>
            <a:t>　</a:t>
          </a:r>
          <a:endParaRPr kumimoji="0" lang="en-US" altLang="ja-JP" sz="11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endParaRPr>
        </a:p>
      </xdr:txBody>
    </xdr:sp>
    <xdr:clientData/>
  </xdr:twoCellAnchor>
  <xdr:twoCellAnchor>
    <xdr:from>
      <xdr:col>0</xdr:col>
      <xdr:colOff>142875</xdr:colOff>
      <xdr:row>19</xdr:row>
      <xdr:rowOff>171449</xdr:rowOff>
    </xdr:from>
    <xdr:to>
      <xdr:col>39</xdr:col>
      <xdr:colOff>0</xdr:colOff>
      <xdr:row>36</xdr:row>
      <xdr:rowOff>95249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1605" y="6095999"/>
          <a:ext cx="5504815" cy="2788920"/>
          <a:chOff x="142875" y="6162674"/>
          <a:chExt cx="6172200" cy="2847975"/>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42875" y="6162674"/>
            <a:ext cx="6172200" cy="2847975"/>
          </a:xfrm>
          <a:prstGeom prst="roundRect">
            <a:avLst>
              <a:gd name="adj" fmla="val 4210"/>
            </a:avLst>
          </a:prstGeom>
          <a:solidFill>
            <a:srgbClr val="FFFFEB"/>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90524" y="6467476"/>
            <a:ext cx="5800725" cy="2400299"/>
            <a:chOff x="171450" y="6057901"/>
            <a:chExt cx="5029200" cy="1543049"/>
          </a:xfrm>
        </xdr:grpSpPr>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57901"/>
              <a:ext cx="5029200" cy="154304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257300" y="6619875"/>
              <a:ext cx="1085850" cy="323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2381250" y="6619875"/>
              <a:ext cx="952500" cy="323850"/>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19175" y="6248400"/>
              <a:ext cx="20764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この欄の数字を入力してください。</a:t>
              </a:r>
            </a:p>
          </xdr:txBody>
        </xdr: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1762125" y="6486525"/>
              <a:ext cx="295275"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47925" y="7162800"/>
              <a:ext cx="2609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所得割の算定にはこの欄の数字を使用します。</a:t>
              </a:r>
            </a:p>
          </xdr:txBody>
        </xdr:sp>
        <xdr:cxnSp macro="">
          <xdr:nvCxnSpPr>
            <xdr:cNvPr id="19" name="直線矢印コネクタ 18">
              <a:extLst>
                <a:ext uri="{FF2B5EF4-FFF2-40B4-BE49-F238E27FC236}">
                  <a16:creationId xmlns:a16="http://schemas.microsoft.com/office/drawing/2014/main" id="{00000000-0008-0000-0000-000013000000}"/>
                </a:ext>
              </a:extLst>
            </xdr:cNvPr>
            <xdr:cNvCxnSpPr>
              <a:stCxn id="17" idx="0"/>
            </xdr:cNvCxnSpPr>
          </xdr:nvCxnSpPr>
          <xdr:spPr>
            <a:xfrm flipH="1" flipV="1">
              <a:off x="2971800" y="6819900"/>
              <a:ext cx="781050" cy="342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2875" y="6191250"/>
            <a:ext cx="29146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（参考１）給与所得の源泉徴収票</a:t>
            </a:r>
          </a:p>
        </xdr:txBody>
      </xdr:sp>
    </xdr:grpSp>
    <xdr:clientData/>
  </xdr:twoCellAnchor>
  <xdr:twoCellAnchor>
    <xdr:from>
      <xdr:col>42</xdr:col>
      <xdr:colOff>0</xdr:colOff>
      <xdr:row>18</xdr:row>
      <xdr:rowOff>0</xdr:rowOff>
    </xdr:from>
    <xdr:to>
      <xdr:col>80</xdr:col>
      <xdr:colOff>38100</xdr:colOff>
      <xdr:row>36</xdr:row>
      <xdr:rowOff>95249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080760" y="5509260"/>
          <a:ext cx="5539740" cy="3375659"/>
          <a:chOff x="6800850" y="5572125"/>
          <a:chExt cx="6191250" cy="3438524"/>
        </a:xfrm>
      </xdr:grpSpPr>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6819900" y="5581649"/>
            <a:ext cx="6172200" cy="3429000"/>
          </a:xfrm>
          <a:prstGeom prst="roundRect">
            <a:avLst>
              <a:gd name="adj" fmla="val 4210"/>
            </a:avLst>
          </a:prstGeom>
          <a:solidFill>
            <a:srgbClr val="FFFFEB"/>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038975" y="5829300"/>
            <a:ext cx="5799600" cy="3152775"/>
            <a:chOff x="5600700" y="561976"/>
            <a:chExt cx="5067300" cy="2419350"/>
          </a:xfrm>
        </xdr:grpSpPr>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0700" y="561976"/>
              <a:ext cx="5067300" cy="2419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6886575" y="1057275"/>
              <a:ext cx="1924050" cy="600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34300" y="1952626"/>
              <a:ext cx="20288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この欄の数字を入力してください。</a:t>
              </a:r>
            </a:p>
          </xdr:txBody>
        </xdr:sp>
        <xdr:cxnSp macro="">
          <xdr:nvCxnSpPr>
            <xdr:cNvPr id="24" name="直線矢印コネクタ 23">
              <a:extLst>
                <a:ext uri="{FF2B5EF4-FFF2-40B4-BE49-F238E27FC236}">
                  <a16:creationId xmlns:a16="http://schemas.microsoft.com/office/drawing/2014/main" id="{00000000-0008-0000-0000-000018000000}"/>
                </a:ext>
              </a:extLst>
            </xdr:cNvPr>
            <xdr:cNvCxnSpPr>
              <a:stCxn id="22" idx="0"/>
            </xdr:cNvCxnSpPr>
          </xdr:nvCxnSpPr>
          <xdr:spPr>
            <a:xfrm flipH="1" flipV="1">
              <a:off x="7877177" y="1447800"/>
              <a:ext cx="871536" cy="5048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00850" y="5572125"/>
            <a:ext cx="29146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（参考２）公的年金等の源泉徴収票</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12</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228600</xdr:colOff>
          <xdr:row>14</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228600</xdr:colOff>
          <xdr:row>16</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228600</xdr:colOff>
          <xdr:row>18</xdr:row>
          <xdr:rowOff>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228600</xdr:colOff>
          <xdr:row>20</xdr:row>
          <xdr:rowOff>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228600</xdr:colOff>
          <xdr:row>22</xdr:row>
          <xdr:rowOff>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133350</xdr:colOff>
      <xdr:row>5</xdr:row>
      <xdr:rowOff>57149</xdr:rowOff>
    </xdr:from>
    <xdr:to>
      <xdr:col>2</xdr:col>
      <xdr:colOff>495300</xdr:colOff>
      <xdr:row>5</xdr:row>
      <xdr:rowOff>200024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52425" y="1057274"/>
          <a:ext cx="361950" cy="1428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26</xdr:row>
      <xdr:rowOff>1</xdr:rowOff>
    </xdr:from>
    <xdr:to>
      <xdr:col>15</xdr:col>
      <xdr:colOff>0</xdr:colOff>
      <xdr:row>28</xdr:row>
      <xdr:rowOff>57151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52400" y="4552951"/>
          <a:ext cx="6457950" cy="628650"/>
        </a:xfrm>
        <a:prstGeom prst="roundRect">
          <a:avLst>
            <a:gd name="adj" fmla="val 4657"/>
          </a:avLst>
        </a:prstGeom>
        <a:noFill/>
        <a:ln w="25400" cap="flat" cmpd="sng" algn="ctr">
          <a:noFill/>
          <a:prstDash val="solid"/>
        </a:ln>
        <a:effectLst/>
      </xdr:spPr>
      <xdr:txBody>
        <a:bodyPr vertOverflow="clip" lIns="72000" tIns="0" rIns="72000" bIns="0" rtlCol="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１　</a:t>
          </a:r>
          <a:r>
            <a:rPr kumimoji="0" lang="ja-JP" altLang="en-US" sz="900" b="1" i="0" u="none" strike="noStrike" kern="0" cap="none" spc="0" normalizeH="0" baseline="0" noProof="0">
              <a:ln>
                <a:noFill/>
              </a:ln>
              <a:solidFill>
                <a:schemeClr val="tx1"/>
              </a:solidFill>
              <a:effectLst/>
              <a:uLnTx/>
              <a:uFillTx/>
              <a:latin typeface="ＭＳ Ｐゴシック" pitchFamily="50" charset="-128"/>
              <a:ea typeface="ＭＳ Ｐゴシック" pitchFamily="50" charset="-128"/>
              <a:cs typeface="+mn-cs"/>
            </a:rPr>
            <a:t>総所得金額等</a:t>
          </a:r>
          <a:r>
            <a:rPr kumimoji="0" lang="ja-JP" altLang="en-US" sz="85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とは</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、地方税法第</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314</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条の</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2</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第</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1</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項などで規定されている総所得金額等です（総合課税及び分離課税の所得の合計額。ただし、退職所得は除く。）。給与所得だけの場合は給与所得（給与所得控除後の金額）が、給与所得と年金所得だけの場合は、給与所得と年金所得の合計額が総所得金額等の金額になります。</a:t>
          </a:r>
          <a:r>
            <a:rPr lang="ja-JP" altLang="ja-JP" sz="850" b="0" i="0" baseline="0">
              <a:effectLst/>
              <a:latin typeface="ＭＳ Ｐ明朝" pitchFamily="18" charset="-128"/>
              <a:ea typeface="ＭＳ Ｐ明朝" pitchFamily="18" charset="-128"/>
              <a:cs typeface="+mn-cs"/>
            </a:rPr>
            <a:t>詳しくは</a:t>
          </a:r>
          <a:r>
            <a:rPr lang="ja-JP" altLang="ja-JP" sz="850" b="1" i="0" u="sng" baseline="0">
              <a:effectLst/>
              <a:latin typeface="ＭＳ Ｐ明朝" pitchFamily="18" charset="-128"/>
              <a:ea typeface="ＭＳ Ｐ明朝" pitchFamily="18" charset="-128"/>
              <a:cs typeface="+mn-cs"/>
            </a:rPr>
            <a:t>ホームページ</a:t>
          </a:r>
          <a:r>
            <a:rPr lang="ja-JP" altLang="ja-JP" sz="850" b="0" i="0" baseline="0">
              <a:effectLst/>
              <a:latin typeface="ＭＳ Ｐ明朝" pitchFamily="18" charset="-128"/>
              <a:ea typeface="ＭＳ Ｐ明朝" pitchFamily="18" charset="-128"/>
              <a:cs typeface="+mn-cs"/>
            </a:rPr>
            <a:t>でご確認ください。</a:t>
          </a:r>
          <a:endPar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xdr:col>
      <xdr:colOff>0</xdr:colOff>
      <xdr:row>33</xdr:row>
      <xdr:rowOff>104775</xdr:rowOff>
    </xdr:from>
    <xdr:to>
      <xdr:col>15</xdr:col>
      <xdr:colOff>0</xdr:colOff>
      <xdr:row>38</xdr:row>
      <xdr:rowOff>96837</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33350" y="6010275"/>
          <a:ext cx="6477000" cy="849312"/>
        </a:xfrm>
        <a:prstGeom prst="roundRect">
          <a:avLst>
            <a:gd name="adj" fmla="val 4657"/>
          </a:avLst>
        </a:prstGeom>
        <a:noFill/>
        <a:ln w="25400" cap="flat" cmpd="sng" algn="ctr">
          <a:noFill/>
          <a:prstDash val="solid"/>
        </a:ln>
        <a:effectLst/>
      </xdr:spPr>
      <xdr:txBody>
        <a:bodyPr vertOverflow="clip" lIns="72000" tIns="36000" rIns="72000" bIns="36000" rtlCol="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mn-ea"/>
              <a:ea typeface="+mn-ea"/>
              <a:cs typeface="+mn-cs"/>
            </a:rPr>
            <a:t>低所得世帯の保険料の軽減</a:t>
          </a:r>
          <a:endParaRPr kumimoji="0" lang="en-US" altLang="ja-JP" sz="900" b="0" i="0" u="none" strike="noStrike" kern="0" cap="none" spc="0" normalizeH="0" baseline="0" noProof="0">
            <a:ln>
              <a:noFill/>
            </a:ln>
            <a:solidFill>
              <a:srgbClr val="333333"/>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mn-ea"/>
              <a:ea typeface="+mn-ea"/>
              <a:cs typeface="+mn-cs"/>
            </a:rPr>
            <a:t>　</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申告された前年中の所得（世帯主、被保険者及び特定同一世帯所属者</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２</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の総所得金額等の合算額）が、国の定める所得基準以下の世帯について、保険料（均等割及び平等割）が、次の割合で軽減となります。</a:t>
          </a:r>
          <a:endPar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16</xdr:col>
      <xdr:colOff>0</xdr:colOff>
      <xdr:row>3</xdr:row>
      <xdr:rowOff>0</xdr:rowOff>
    </xdr:from>
    <xdr:to>
      <xdr:col>28</xdr:col>
      <xdr:colOff>0</xdr:colOff>
      <xdr:row>6</xdr:row>
      <xdr:rowOff>0</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6719455" y="450273"/>
          <a:ext cx="4978977" cy="658091"/>
        </a:xfrm>
        <a:prstGeom prst="roundRect">
          <a:avLst>
            <a:gd name="adj" fmla="val 4657"/>
          </a:avLst>
        </a:prstGeom>
        <a:noFill/>
        <a:ln w="25400" cap="flat" cmpd="sng" algn="ctr">
          <a:noFill/>
          <a:prstDash val="solid"/>
        </a:ln>
        <a:effectLst/>
      </xdr:spPr>
      <xdr:txBody>
        <a:bodyPr vertOverflow="clip" lIns="72000" tIns="36000" rIns="72000" bIns="36000" rtlCol="0"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a:t>
          </a:r>
          <a:r>
            <a:rPr kumimoji="0" lang="ja-JP" altLang="en-US"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保険料は、加入される方の人数と前年中の所得で計算します。保険料は、医療分、支援分（後期高齢者医療制度への支援分）、介護分（介護保険第２号被保険者）があり、それぞれ、均等割、平等割、所得割により計算し、それらの合計額が保険料となります。</a:t>
          </a:r>
          <a:endParaRPr kumimoji="0" lang="en-US" altLang="ja-JP"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15</xdr:col>
      <xdr:colOff>59690</xdr:colOff>
      <xdr:row>27</xdr:row>
      <xdr:rowOff>20320</xdr:rowOff>
    </xdr:from>
    <xdr:to>
      <xdr:col>28</xdr:col>
      <xdr:colOff>61595</xdr:colOff>
      <xdr:row>47</xdr:row>
      <xdr:rowOff>83820</xdr:rowOff>
    </xdr:to>
    <xdr:sp macro="" textlink="">
      <xdr:nvSpPr>
        <xdr:cNvPr id="15" name="角丸四角形 23">
          <a:extLst>
            <a:ext uri="{FF2B5EF4-FFF2-40B4-BE49-F238E27FC236}">
              <a16:creationId xmlns:a16="http://schemas.microsoft.com/office/drawing/2014/main" id="{00000000-0008-0000-0100-00000F000000}"/>
            </a:ext>
          </a:extLst>
        </xdr:cNvPr>
        <xdr:cNvSpPr/>
      </xdr:nvSpPr>
      <xdr:spPr>
        <a:xfrm>
          <a:off x="6117590" y="4676140"/>
          <a:ext cx="4665345" cy="3683000"/>
        </a:xfrm>
        <a:prstGeom prst="roundRect">
          <a:avLst>
            <a:gd name="adj" fmla="val 4657"/>
          </a:avLst>
        </a:prstGeom>
        <a:noFill/>
        <a:ln w="25400" cap="flat" cmpd="sng" algn="ctr">
          <a:noFill/>
          <a:prstDash val="solid"/>
        </a:ln>
        <a:effectLst/>
      </xdr:spPr>
      <xdr:txBody>
        <a:bodyPr vertOverflow="clip" lIns="72000" tIns="36000" rIns="72000" bIns="36000" rtlCol="0" anchor="t" anchorCtr="0"/>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1" i="1"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rPr>
            <a:t>＜注意事項＞</a:t>
          </a:r>
          <a:endParaRPr kumimoji="0" lang="en-US" altLang="ja-JP" sz="1200" b="1" i="1"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870" b="1" i="0" u="sng" strike="noStrike" kern="0" cap="none" spc="0" normalizeH="0" baseline="0" noProof="0">
              <a:ln>
                <a:noFill/>
              </a:ln>
              <a:solidFill>
                <a:srgbClr val="FF0000"/>
              </a:solidFill>
              <a:effectLst/>
              <a:uLnTx/>
              <a:uFillTx/>
              <a:latin typeface="ＭＳ Ｐゴシック" pitchFamily="50" charset="-128"/>
              <a:ea typeface="+mn-ea"/>
              <a:cs typeface="+mn-cs"/>
            </a:rPr>
            <a:t>※</a:t>
          </a:r>
          <a:r>
            <a:rPr kumimoji="0" lang="ja-JP" altLang="en-US" sz="870" b="1" i="0" u="sng" strike="noStrike" kern="0" cap="none" spc="0" normalizeH="0" baseline="0" noProof="0">
              <a:ln>
                <a:noFill/>
              </a:ln>
              <a:solidFill>
                <a:srgbClr val="FF0000"/>
              </a:solidFill>
              <a:effectLst/>
              <a:uLnTx/>
              <a:uFillTx/>
              <a:latin typeface="ＭＳ Ｐゴシック" pitchFamily="50" charset="-128"/>
              <a:ea typeface="+mn-ea"/>
              <a:cs typeface="+mn-cs"/>
            </a:rPr>
            <a:t>上記の試算結果はあくまでも試算であり、実際の保険料額とは異なります。差異について、</a:t>
          </a:r>
          <a:endParaRPr kumimoji="0" lang="en-US" altLang="ja-JP" sz="870" b="1" i="0" u="sng" strike="noStrike" kern="0" cap="none" spc="0" normalizeH="0" baseline="0" noProof="0">
            <a:ln>
              <a:noFill/>
            </a:ln>
            <a:solidFill>
              <a:srgbClr val="FF0000"/>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1" i="0" u="sng" strike="noStrike" kern="0" cap="none" spc="0" normalizeH="0" baseline="0" noProof="0">
              <a:ln>
                <a:noFill/>
              </a:ln>
              <a:solidFill>
                <a:srgbClr val="FF0000"/>
              </a:solidFill>
              <a:effectLst/>
              <a:uLnTx/>
              <a:uFillTx/>
              <a:latin typeface="ＭＳ Ｐゴシック" pitchFamily="50" charset="-128"/>
              <a:ea typeface="+mn-ea"/>
              <a:cs typeface="+mn-cs"/>
            </a:rPr>
            <a:t>　本市では責任を負いかねますので、御了承ください。</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次のいずれかの項目に該当する場合は、このシートでは正しく計算できません。</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お手数ですが、お住いの区の区役所保険年金課へお問い合せください。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（１）年度途中に加入者の所得や加入人数が変わる場合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（２）年度途中に加入者が</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40</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歳に到達し、介護保険第２号被保険者となる場合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（３）年度途中に加入者が</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65</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歳に到達し、介護保険第２号被保険者でなくなる</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介護保険第１</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号被保険者となる</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（４）年度途中に加入者が後期高齢者医療制度に移行し、残った国民健康保険の加入者が</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１人となる場合（後期高齢者医療制度へ移行してから８年を経過する月までを含む）</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（５）世帯内に特定同一世帯所属者、未就学児、産前産後期間の保険料の軽減を受ける者</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がいる場合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（６）年金収入があり、その方が令和６年１月２日以後に６５歳の誕生日を迎えた場合</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（７）</a:t>
          </a:r>
          <a:r>
            <a:rPr lang="ja-JP" altLang="ja-JP" sz="870">
              <a:solidFill>
                <a:schemeClr val="tx1"/>
              </a:solidFill>
              <a:effectLst/>
              <a:latin typeface="+mn-lt"/>
              <a:ea typeface="+mn-ea"/>
              <a:cs typeface="+mn-cs"/>
            </a:rPr>
            <a:t>令和</a:t>
          </a:r>
          <a:r>
            <a:rPr lang="ja-JP" altLang="en-US" sz="870">
              <a:solidFill>
                <a:schemeClr val="tx1"/>
              </a:solidFill>
              <a:effectLst/>
              <a:latin typeface="+mn-lt"/>
              <a:ea typeface="+mn-ea"/>
              <a:cs typeface="+mn-cs"/>
            </a:rPr>
            <a:t>６</a:t>
          </a:r>
          <a:r>
            <a:rPr lang="ja-JP" altLang="ja-JP" sz="870">
              <a:solidFill>
                <a:schemeClr val="tx1"/>
              </a:solidFill>
              <a:effectLst/>
              <a:latin typeface="+mn-lt"/>
              <a:ea typeface="+mn-ea"/>
              <a:cs typeface="+mn-cs"/>
            </a:rPr>
            <a:t>年１月１日時点で６５歳未満の世帯主が国保に加入しない場合で、年金収入が</a:t>
          </a:r>
          <a:endParaRPr lang="en-US" altLang="ja-JP" sz="870">
            <a:solidFill>
              <a:schemeClr val="tx1"/>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870">
              <a:solidFill>
                <a:schemeClr val="tx1"/>
              </a:solidFill>
              <a:effectLst/>
              <a:latin typeface="+mn-lt"/>
              <a:ea typeface="+mn-ea"/>
              <a:cs typeface="+mn-cs"/>
            </a:rPr>
            <a:t>　　　</a:t>
          </a:r>
          <a:r>
            <a:rPr lang="ja-JP" altLang="ja-JP" sz="870">
              <a:solidFill>
                <a:schemeClr val="tx1"/>
              </a:solidFill>
              <a:effectLst/>
              <a:latin typeface="+mn-lt"/>
              <a:ea typeface="+mn-ea"/>
              <a:cs typeface="+mn-cs"/>
            </a:rPr>
            <a:t>ある場合</a:t>
          </a:r>
          <a:endPar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（８）所得金額調整控除がある場合や、給与所得の特定支出控除がある場合等</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（９）専従者給与がある場合、または専従者控除を必要経費に算入している場合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10</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）分離課税所得（土地・株式等の譲渡所得等）がある場合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11</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）被用者保険の被保険者本人が後期高齢者医療制度に移行したことで、被扶養者が国</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保加入（加入時に</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65</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歳以上の被扶養者のみ）した場合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12</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）倒産・解雇や雇い止めなどにより離職された方（非自発的失業者）に対する軽減措置</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の条件に該当する場合</a:t>
          </a:r>
          <a:endParaRPr kumimoji="0" lang="en-US" altLang="ja-JP" sz="900" b="0" i="0" u="sng" strike="noStrike" kern="0" cap="none" spc="0" normalizeH="0" baseline="0">
            <a:ln>
              <a:noFill/>
            </a:ln>
            <a:solidFill>
              <a:schemeClr val="tx1"/>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ja-JP" sz="9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xdr:txBody>
    </xdr:sp>
    <xdr:clientData/>
  </xdr:twoCellAnchor>
  <xdr:twoCellAnchor>
    <xdr:from>
      <xdr:col>16</xdr:col>
      <xdr:colOff>10160</xdr:colOff>
      <xdr:row>27</xdr:row>
      <xdr:rowOff>68580</xdr:rowOff>
    </xdr:from>
    <xdr:to>
      <xdr:col>28</xdr:col>
      <xdr:colOff>59690</xdr:colOff>
      <xdr:row>46</xdr:row>
      <xdr:rowOff>212090</xdr:rowOff>
    </xdr:to>
    <xdr:sp macro="" textlink="">
      <xdr:nvSpPr>
        <xdr:cNvPr id="2" name="四角形: 角を丸くする 1">
          <a:extLst>
            <a:ext uri="{FF2B5EF4-FFF2-40B4-BE49-F238E27FC236}">
              <a16:creationId xmlns:a16="http://schemas.microsoft.com/office/drawing/2014/main" id="{55B87375-2D22-27DC-7056-0C46B39D3DD1}"/>
            </a:ext>
          </a:extLst>
        </xdr:cNvPr>
        <xdr:cNvSpPr/>
      </xdr:nvSpPr>
      <xdr:spPr>
        <a:xfrm>
          <a:off x="6189980" y="4724400"/>
          <a:ext cx="4591050" cy="3526790"/>
        </a:xfrm>
        <a:prstGeom prst="roundRect">
          <a:avLst>
            <a:gd name="adj" fmla="val 25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10</xdr:row>
          <xdr:rowOff>12700</xdr:rowOff>
        </xdr:from>
        <xdr:to>
          <xdr:col>10</xdr:col>
          <xdr:colOff>457200</xdr:colOff>
          <xdr:row>11</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0</xdr:rowOff>
        </xdr:from>
        <xdr:to>
          <xdr:col>10</xdr:col>
          <xdr:colOff>546100</xdr:colOff>
          <xdr:row>12</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165100</xdr:rowOff>
        </xdr:from>
        <xdr:to>
          <xdr:col>10</xdr:col>
          <xdr:colOff>546100</xdr:colOff>
          <xdr:row>13</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13</xdr:row>
          <xdr:rowOff>0</xdr:rowOff>
        </xdr:from>
        <xdr:to>
          <xdr:col>10</xdr:col>
          <xdr:colOff>546100</xdr:colOff>
          <xdr:row>14</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13</xdr:row>
          <xdr:rowOff>165100</xdr:rowOff>
        </xdr:from>
        <xdr:to>
          <xdr:col>10</xdr:col>
          <xdr:colOff>546100</xdr:colOff>
          <xdr:row>15</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15</xdr:row>
          <xdr:rowOff>0</xdr:rowOff>
        </xdr:from>
        <xdr:to>
          <xdr:col>10</xdr:col>
          <xdr:colOff>546100</xdr:colOff>
          <xdr:row>16</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190500</xdr:colOff>
      <xdr:row>58</xdr:row>
      <xdr:rowOff>66675</xdr:rowOff>
    </xdr:from>
    <xdr:to>
      <xdr:col>17</xdr:col>
      <xdr:colOff>600076</xdr:colOff>
      <xdr:row>64</xdr:row>
      <xdr:rowOff>38100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11953875" y="10363200"/>
          <a:ext cx="1133476" cy="1000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438150</xdr:colOff>
          <xdr:row>52</xdr:row>
          <xdr:rowOff>12700</xdr:rowOff>
        </xdr:from>
        <xdr:to>
          <xdr:col>4</xdr:col>
          <xdr:colOff>641350</xdr:colOff>
          <xdr:row>53</xdr:row>
          <xdr:rowOff>12700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53</xdr:row>
          <xdr:rowOff>12700</xdr:rowOff>
        </xdr:from>
        <xdr:to>
          <xdr:col>4</xdr:col>
          <xdr:colOff>641350</xdr:colOff>
          <xdr:row>54</xdr:row>
          <xdr:rowOff>12700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54</xdr:row>
          <xdr:rowOff>12700</xdr:rowOff>
        </xdr:from>
        <xdr:to>
          <xdr:col>4</xdr:col>
          <xdr:colOff>641350</xdr:colOff>
          <xdr:row>55</xdr:row>
          <xdr:rowOff>12700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55</xdr:row>
          <xdr:rowOff>12700</xdr:rowOff>
        </xdr:from>
        <xdr:to>
          <xdr:col>4</xdr:col>
          <xdr:colOff>641350</xdr:colOff>
          <xdr:row>56</xdr:row>
          <xdr:rowOff>12700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56</xdr:row>
          <xdr:rowOff>12700</xdr:rowOff>
        </xdr:from>
        <xdr:to>
          <xdr:col>4</xdr:col>
          <xdr:colOff>641350</xdr:colOff>
          <xdr:row>57</xdr:row>
          <xdr:rowOff>12700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57</xdr:row>
          <xdr:rowOff>12700</xdr:rowOff>
        </xdr:from>
        <xdr:to>
          <xdr:col>4</xdr:col>
          <xdr:colOff>641350</xdr:colOff>
          <xdr:row>58</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12</xdr:row>
          <xdr:rowOff>165100</xdr:rowOff>
        </xdr:from>
        <xdr:to>
          <xdr:col>20</xdr:col>
          <xdr:colOff>19050</xdr:colOff>
          <xdr:row>14</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13</xdr:row>
          <xdr:rowOff>133350</xdr:rowOff>
        </xdr:from>
        <xdr:to>
          <xdr:col>20</xdr:col>
          <xdr:colOff>0</xdr:colOff>
          <xdr:row>15</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10</xdr:row>
          <xdr:rowOff>165100</xdr:rowOff>
        </xdr:from>
        <xdr:to>
          <xdr:col>19</xdr:col>
          <xdr:colOff>622300</xdr:colOff>
          <xdr:row>12</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11</xdr:row>
          <xdr:rowOff>152400</xdr:rowOff>
        </xdr:from>
        <xdr:to>
          <xdr:col>20</xdr:col>
          <xdr:colOff>12700</xdr:colOff>
          <xdr:row>13</xdr:row>
          <xdr:rowOff>31750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15</xdr:row>
          <xdr:rowOff>0</xdr:rowOff>
        </xdr:from>
        <xdr:to>
          <xdr:col>19</xdr:col>
          <xdr:colOff>622300</xdr:colOff>
          <xdr:row>16</xdr:row>
          <xdr:rowOff>12700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10</xdr:row>
          <xdr:rowOff>0</xdr:rowOff>
        </xdr:from>
        <xdr:to>
          <xdr:col>20</xdr:col>
          <xdr:colOff>0</xdr:colOff>
          <xdr:row>11</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2</xdr:row>
          <xdr:rowOff>88900</xdr:rowOff>
        </xdr:from>
        <xdr:to>
          <xdr:col>26</xdr:col>
          <xdr:colOff>412750</xdr:colOff>
          <xdr:row>3</xdr:row>
          <xdr:rowOff>114300</xdr:rowOff>
        </xdr:to>
        <xdr:sp macro="" textlink="">
          <xdr:nvSpPr>
            <xdr:cNvPr id="4173" name="Butto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590550</xdr:colOff>
          <xdr:row>1</xdr:row>
          <xdr:rowOff>12700</xdr:rowOff>
        </xdr:from>
        <xdr:to>
          <xdr:col>45</xdr:col>
          <xdr:colOff>679450</xdr:colOff>
          <xdr:row>2</xdr:row>
          <xdr:rowOff>107950</xdr:rowOff>
        </xdr:to>
        <xdr:sp macro="" textlink="">
          <xdr:nvSpPr>
            <xdr:cNvPr id="4174" name="Butto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期割入力①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590550</xdr:colOff>
          <xdr:row>3</xdr:row>
          <xdr:rowOff>19050</xdr:rowOff>
        </xdr:from>
        <xdr:to>
          <xdr:col>45</xdr:col>
          <xdr:colOff>679450</xdr:colOff>
          <xdr:row>4</xdr:row>
          <xdr:rowOff>114300</xdr:rowOff>
        </xdr:to>
        <xdr:sp macro="" textlink="">
          <xdr:nvSpPr>
            <xdr:cNvPr id="4175" name="Butto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期割入力②</a:t>
              </a:r>
            </a:p>
          </xdr:txBody>
        </xdr:sp>
        <xdr:clientData fPrintsWithSheet="0"/>
      </xdr:twoCellAnchor>
    </mc:Choice>
    <mc:Fallback/>
  </mc:AlternateContent>
  <xdr:twoCellAnchor>
    <xdr:from>
      <xdr:col>11</xdr:col>
      <xdr:colOff>171450</xdr:colOff>
      <xdr:row>65</xdr:row>
      <xdr:rowOff>95250</xdr:rowOff>
    </xdr:from>
    <xdr:to>
      <xdr:col>15</xdr:col>
      <xdr:colOff>476250</xdr:colOff>
      <xdr:row>66</xdr:row>
      <xdr:rowOff>104775</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flipV="1">
          <a:off x="8315325" y="11534775"/>
          <a:ext cx="320040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F0"/>
    <pageSetUpPr fitToPage="1"/>
  </sheetPr>
  <dimension ref="A1:CC83"/>
  <sheetViews>
    <sheetView showGridLines="0" showRowColHeaders="0" tabSelected="1" zoomScaleNormal="100" workbookViewId="0">
      <selection activeCell="CE7" sqref="CE7"/>
    </sheetView>
  </sheetViews>
  <sheetFormatPr defaultRowHeight="13"/>
  <cols>
    <col min="1" max="50" width="2.08984375" customWidth="1"/>
    <col min="51" max="75" width="2.08984375" style="205" customWidth="1"/>
    <col min="76" max="81" width="2.08984375" customWidth="1"/>
  </cols>
  <sheetData>
    <row r="1" spans="1:81" ht="21.75" customHeight="1">
      <c r="A1" s="396" t="s">
        <v>232</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396"/>
      <c r="BX1" s="396"/>
      <c r="BY1" s="396"/>
      <c r="BZ1" s="396"/>
      <c r="CA1" s="396"/>
      <c r="CB1" s="396"/>
      <c r="CC1" s="396"/>
    </row>
    <row r="3" spans="1:81" ht="16.5">
      <c r="A3" s="389" t="s">
        <v>157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90"/>
      <c r="AO3" s="208"/>
      <c r="AP3" s="217" t="s">
        <v>148</v>
      </c>
      <c r="AQ3" s="190"/>
      <c r="AR3" s="190"/>
      <c r="AS3" s="190"/>
      <c r="AT3" s="190"/>
      <c r="AU3" s="190"/>
      <c r="AV3" s="190"/>
      <c r="AW3" s="190"/>
      <c r="AX3" s="190"/>
    </row>
    <row r="4" spans="1:81">
      <c r="A4" s="397"/>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8"/>
      <c r="AO4" s="208"/>
      <c r="AP4" s="190"/>
      <c r="AQ4" s="190"/>
      <c r="AR4" s="190"/>
      <c r="AS4" s="190"/>
      <c r="AT4" s="190"/>
      <c r="AU4" s="190"/>
      <c r="AV4" s="190"/>
      <c r="AW4" s="190"/>
      <c r="AX4" s="190"/>
    </row>
    <row r="5" spans="1:81" ht="17.25" customHeight="1">
      <c r="A5" s="389" t="s">
        <v>158</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90"/>
      <c r="AO5" s="208"/>
      <c r="AP5" s="190"/>
      <c r="AQ5" s="190"/>
      <c r="AR5" s="190"/>
      <c r="AS5" s="190"/>
      <c r="AT5" s="190"/>
      <c r="AU5" s="190"/>
      <c r="AV5" s="190"/>
      <c r="AW5" s="190"/>
      <c r="AX5" s="190"/>
    </row>
    <row r="6" spans="1:81">
      <c r="A6" s="397"/>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8"/>
      <c r="AO6" s="208"/>
      <c r="AP6" s="190"/>
      <c r="AQ6" s="190"/>
      <c r="AR6" s="190"/>
      <c r="AS6" s="190"/>
      <c r="AT6" s="190"/>
      <c r="AU6" s="190"/>
      <c r="AV6" s="190"/>
      <c r="AW6" s="190"/>
      <c r="AX6" s="190"/>
    </row>
    <row r="7" spans="1:81">
      <c r="A7" s="389" t="s">
        <v>146</v>
      </c>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90"/>
      <c r="AO7" s="208"/>
      <c r="AP7" s="190"/>
      <c r="AQ7" s="190"/>
      <c r="AR7" s="190"/>
      <c r="AS7" s="190"/>
      <c r="AT7" s="190"/>
      <c r="AU7" s="190"/>
      <c r="AV7" s="190"/>
      <c r="AW7" s="190"/>
      <c r="AX7" s="190"/>
    </row>
    <row r="8" spans="1:81">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206"/>
      <c r="AM8" s="206"/>
      <c r="AN8" s="190"/>
      <c r="AO8" s="208"/>
      <c r="AP8" s="190"/>
      <c r="AQ8" s="190"/>
      <c r="AR8" s="190"/>
      <c r="AS8" s="190"/>
      <c r="AT8" s="190"/>
      <c r="AU8" s="190"/>
      <c r="AV8" s="190"/>
      <c r="AW8" s="190"/>
      <c r="AX8" s="190"/>
    </row>
    <row r="9" spans="1:81" ht="16.5">
      <c r="A9" s="394" t="s">
        <v>124</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5"/>
      <c r="AM9" s="207"/>
      <c r="AN9" s="191"/>
      <c r="AO9" s="209"/>
      <c r="AP9" s="191"/>
      <c r="AQ9" s="191"/>
      <c r="AR9" s="191"/>
      <c r="AS9" s="191"/>
      <c r="AT9" s="191"/>
      <c r="AU9" s="191"/>
      <c r="AV9" s="191"/>
      <c r="AW9" s="191"/>
      <c r="AX9" s="191"/>
    </row>
    <row r="10" spans="1:81">
      <c r="AL10" s="206"/>
      <c r="AM10" s="206"/>
      <c r="AO10" s="208"/>
    </row>
    <row r="11" spans="1:81" ht="81.75" customHeight="1">
      <c r="B11" s="306" t="s">
        <v>147</v>
      </c>
      <c r="C11" s="307"/>
      <c r="D11" s="307"/>
      <c r="E11" s="307"/>
      <c r="F11" s="307"/>
      <c r="G11" s="307"/>
      <c r="H11" s="307"/>
      <c r="I11" s="308"/>
      <c r="K11" s="391" t="s">
        <v>149</v>
      </c>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3"/>
      <c r="AO11" s="208"/>
    </row>
    <row r="12" spans="1:81">
      <c r="AL12" s="206"/>
      <c r="AM12" s="206"/>
      <c r="AO12" s="208"/>
    </row>
    <row r="13" spans="1:81" ht="40.5" customHeight="1">
      <c r="B13" s="306" t="s">
        <v>205</v>
      </c>
      <c r="C13" s="307"/>
      <c r="D13" s="307"/>
      <c r="E13" s="307"/>
      <c r="F13" s="307"/>
      <c r="G13" s="307"/>
      <c r="H13" s="307"/>
      <c r="I13" s="308"/>
      <c r="K13" s="391" t="s">
        <v>234</v>
      </c>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3"/>
      <c r="AO13" s="208"/>
    </row>
    <row r="14" spans="1:81">
      <c r="AL14" s="206"/>
      <c r="AM14" s="206"/>
      <c r="AO14" s="208"/>
    </row>
    <row r="15" spans="1:81" ht="54.75" customHeight="1">
      <c r="B15" s="306" t="s">
        <v>206</v>
      </c>
      <c r="C15" s="307"/>
      <c r="D15" s="307"/>
      <c r="E15" s="307"/>
      <c r="F15" s="307"/>
      <c r="G15" s="307"/>
      <c r="H15" s="307"/>
      <c r="I15" s="308"/>
      <c r="K15" s="391" t="s">
        <v>235</v>
      </c>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3"/>
      <c r="AO15" s="208"/>
    </row>
    <row r="16" spans="1:81">
      <c r="AL16" s="206"/>
      <c r="AM16" s="206"/>
      <c r="AO16" s="208"/>
    </row>
    <row r="17" spans="2:75" ht="53.25" customHeight="1">
      <c r="B17" s="401" t="s">
        <v>207</v>
      </c>
      <c r="C17" s="402"/>
      <c r="D17" s="402"/>
      <c r="E17" s="402"/>
      <c r="F17" s="402"/>
      <c r="G17" s="402"/>
      <c r="H17" s="402"/>
      <c r="I17" s="403"/>
      <c r="K17" s="391" t="s">
        <v>236</v>
      </c>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3"/>
      <c r="AO17" s="208"/>
    </row>
    <row r="18" spans="2:75">
      <c r="AL18" s="206"/>
      <c r="AM18" s="206"/>
      <c r="AO18" s="208"/>
      <c r="AP18" s="190"/>
    </row>
    <row r="19" spans="2:75" ht="33" customHeight="1">
      <c r="B19" s="399" t="s">
        <v>218</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O19" s="208"/>
    </row>
    <row r="20" spans="2:75">
      <c r="AL20" s="206"/>
      <c r="AM20" s="206"/>
      <c r="AO20" s="208"/>
    </row>
    <row r="21" spans="2:75">
      <c r="AL21" s="206"/>
      <c r="AM21" s="206"/>
      <c r="AO21" s="208"/>
    </row>
    <row r="22" spans="2:75">
      <c r="AL22" s="206"/>
      <c r="AM22" s="206"/>
      <c r="AO22" s="208"/>
    </row>
    <row r="23" spans="2:75">
      <c r="AL23" s="206"/>
      <c r="AM23" s="206"/>
      <c r="AO23" s="208"/>
    </row>
    <row r="24" spans="2:75">
      <c r="AL24" s="206"/>
      <c r="AM24" s="206"/>
      <c r="AO24" s="208"/>
    </row>
    <row r="25" spans="2:75">
      <c r="AL25" s="206"/>
      <c r="AM25" s="206"/>
      <c r="AO25" s="208"/>
    </row>
    <row r="26" spans="2:75">
      <c r="AL26" s="206"/>
      <c r="AM26" s="206"/>
      <c r="AO26" s="208"/>
    </row>
    <row r="27" spans="2:75">
      <c r="AL27" s="206"/>
      <c r="AM27" s="206"/>
      <c r="AO27" s="208"/>
    </row>
    <row r="28" spans="2:75">
      <c r="AL28" s="206"/>
      <c r="AM28" s="206"/>
      <c r="AO28" s="208"/>
    </row>
    <row r="29" spans="2:75">
      <c r="AO29" s="208"/>
    </row>
    <row r="30" spans="2:75">
      <c r="AL30" s="206"/>
      <c r="AM30" s="206"/>
      <c r="AO30" s="208"/>
    </row>
    <row r="31" spans="2:75">
      <c r="AL31" s="206"/>
      <c r="AM31" s="206"/>
      <c r="AO31" s="208"/>
      <c r="AP31" s="206"/>
    </row>
    <row r="32" spans="2:75" s="164" customFormat="1">
      <c r="AL32" s="206"/>
      <c r="AM32" s="206"/>
      <c r="AO32" s="208"/>
      <c r="AP32" s="206"/>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row>
    <row r="33" spans="1:50">
      <c r="AL33" s="206"/>
      <c r="AM33" s="206"/>
      <c r="AO33" s="208"/>
      <c r="AP33" s="206"/>
    </row>
    <row r="34" spans="1:50" ht="14">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207"/>
      <c r="AM34" s="207"/>
      <c r="AN34" s="191"/>
      <c r="AO34" s="209"/>
      <c r="AP34" s="207"/>
      <c r="AQ34" s="191"/>
      <c r="AR34" s="191"/>
      <c r="AS34" s="191"/>
      <c r="AT34" s="191"/>
      <c r="AU34" s="191"/>
      <c r="AV34" s="191"/>
      <c r="AW34" s="191"/>
      <c r="AX34" s="191"/>
    </row>
    <row r="35" spans="1:50">
      <c r="AL35" s="206"/>
      <c r="AM35" s="206"/>
      <c r="AO35" s="208"/>
      <c r="AP35" s="206"/>
    </row>
    <row r="36" spans="1:50">
      <c r="AL36" s="206"/>
      <c r="AM36" s="206"/>
      <c r="AO36" s="208"/>
      <c r="AP36" s="206"/>
    </row>
    <row r="37" spans="1:50">
      <c r="AL37" s="206"/>
      <c r="AM37" s="206"/>
      <c r="AO37" s="208"/>
      <c r="AP37" s="206"/>
    </row>
    <row r="38" spans="1:50">
      <c r="AL38" s="206"/>
      <c r="AM38" s="206"/>
      <c r="AO38" s="206"/>
      <c r="AP38" s="206"/>
    </row>
    <row r="39" spans="1:50">
      <c r="AL39" s="206"/>
      <c r="AM39" s="206"/>
    </row>
    <row r="61" s="205" customFormat="1"/>
    <row r="62" s="205" customFormat="1"/>
    <row r="63" s="205" customFormat="1"/>
    <row r="64" s="205" customFormat="1"/>
    <row r="65" s="205" customFormat="1"/>
    <row r="66" s="205" customFormat="1"/>
    <row r="67" s="205" customFormat="1"/>
    <row r="68" s="205" customFormat="1"/>
    <row r="69" s="205" customFormat="1"/>
    <row r="70" s="205" customFormat="1"/>
    <row r="71" s="205" customFormat="1"/>
    <row r="72" s="205" customFormat="1"/>
    <row r="73" s="205" customFormat="1"/>
    <row r="74" s="205" customFormat="1"/>
    <row r="75" s="205" customFormat="1"/>
    <row r="76" s="205" customFormat="1"/>
    <row r="77" s="205" customFormat="1"/>
    <row r="78" s="205" customFormat="1"/>
    <row r="79" s="205" customFormat="1"/>
    <row r="80" s="205" customFormat="1"/>
    <row r="81" s="205" customFormat="1"/>
    <row r="82" s="205" customFormat="1"/>
    <row r="83" s="205" customFormat="1"/>
  </sheetData>
  <sheetProtection algorithmName="SHA-512" hashValue="Wt1+KMWlgbHY1TVWsFP0pHsyJiHDITmeIEeNGzo3AUdg5WeJQo3nwx9kQW5yEzwqxS6dQd2XjAoJFKzEaBwsvA==" saltValue="JDx5Et8FVytiy09Ik7Lz/w==" spinCount="100000" sheet="1" objects="1" scenarios="1" selectLockedCells="1"/>
  <mergeCells count="13">
    <mergeCell ref="K13:AM13"/>
    <mergeCell ref="K15:AM15"/>
    <mergeCell ref="K17:AM17"/>
    <mergeCell ref="B19:AM19"/>
    <mergeCell ref="B17:I17"/>
    <mergeCell ref="A7:AN7"/>
    <mergeCell ref="K11:AM11"/>
    <mergeCell ref="A9:AL9"/>
    <mergeCell ref="A1:CC1"/>
    <mergeCell ref="A3:AN3"/>
    <mergeCell ref="A4:AN4"/>
    <mergeCell ref="A5:AN5"/>
    <mergeCell ref="A6:AN6"/>
  </mergeCells>
  <phoneticPr fontId="28"/>
  <pageMargins left="0.31496062992125984" right="0.31496062992125984" top="0.35433070866141736" bottom="0.15748031496062992" header="0.31496062992125984" footer="0.11811023622047245"/>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D213"/>
  <sheetViews>
    <sheetView showGridLines="0" showRowColHeaders="0" topLeftCell="A25" zoomScaleNormal="100" workbookViewId="0">
      <selection activeCell="AF30" sqref="AF30"/>
    </sheetView>
  </sheetViews>
  <sheetFormatPr defaultColWidth="9" defaultRowHeight="13"/>
  <cols>
    <col min="1" max="1" width="1.7265625" style="26" customWidth="1"/>
    <col min="2" max="2" width="1.08984375" style="26" customWidth="1"/>
    <col min="3" max="3" width="6.7265625" style="26" customWidth="1"/>
    <col min="4" max="4" width="14" style="26" customWidth="1"/>
    <col min="5" max="5" width="4.26953125" style="26" customWidth="1"/>
    <col min="6" max="6" width="9.26953125" style="26" customWidth="1"/>
    <col min="7" max="7" width="3.26953125" style="26" customWidth="1"/>
    <col min="8" max="8" width="9.26953125" style="26" customWidth="1"/>
    <col min="9" max="9" width="3.26953125" style="26" customWidth="1"/>
    <col min="10" max="10" width="9.26953125" style="26" customWidth="1"/>
    <col min="11" max="11" width="3.26953125" style="26" customWidth="1"/>
    <col min="12" max="13" width="1.7265625" style="26" customWidth="1"/>
    <col min="14" max="14" width="11.453125" style="26" customWidth="1"/>
    <col min="15" max="15" width="6.36328125" style="26" customWidth="1"/>
    <col min="16" max="16" width="1.7265625" style="26" customWidth="1"/>
    <col min="17" max="17" width="1.08984375" style="26" customWidth="1"/>
    <col min="18" max="18" width="7.7265625" style="26" customWidth="1"/>
    <col min="19" max="19" width="1.26953125" style="26" customWidth="1"/>
    <col min="20" max="20" width="9.90625" style="26" customWidth="1"/>
    <col min="21" max="21" width="3.08984375" style="26" customWidth="1"/>
    <col min="22" max="22" width="9.90625" style="26" customWidth="1"/>
    <col min="23" max="23" width="3.08984375" style="26" customWidth="1"/>
    <col min="24" max="24" width="12.453125" style="26" customWidth="1"/>
    <col min="25" max="25" width="3.08984375" style="26" customWidth="1"/>
    <col min="26" max="26" width="10.08984375" style="26" customWidth="1"/>
    <col min="27" max="27" width="1.26953125" style="26" customWidth="1"/>
    <col min="28" max="28" width="2" style="26" customWidth="1"/>
    <col min="29" max="29" width="1" style="26" customWidth="1"/>
    <col min="30" max="30" width="3.08984375" style="26" customWidth="1"/>
    <col min="31" max="31" width="6.90625" style="26" customWidth="1"/>
    <col min="32" max="32" width="5.90625" style="26" customWidth="1"/>
    <col min="33" max="33" width="18.90625" style="26" customWidth="1"/>
    <col min="34" max="16384" width="9" style="26"/>
  </cols>
  <sheetData>
    <row r="1" spans="2:56" ht="6.75" customHeight="1" thickBot="1">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row>
    <row r="2" spans="2:56" ht="22.5" customHeight="1" thickBot="1">
      <c r="C2" s="452" t="s">
        <v>233</v>
      </c>
      <c r="D2" s="453"/>
      <c r="E2" s="453"/>
      <c r="F2" s="453"/>
      <c r="G2" s="453"/>
      <c r="H2" s="453"/>
      <c r="I2" s="453"/>
      <c r="J2" s="453"/>
      <c r="K2" s="453"/>
      <c r="L2" s="453"/>
      <c r="M2" s="453"/>
      <c r="N2" s="453"/>
      <c r="O2" s="453"/>
      <c r="P2" s="453"/>
      <c r="Q2" s="453"/>
      <c r="R2" s="453"/>
      <c r="S2" s="453"/>
      <c r="T2" s="453"/>
      <c r="U2" s="453"/>
      <c r="V2" s="453"/>
      <c r="W2" s="453"/>
      <c r="X2" s="453"/>
      <c r="Y2" s="453"/>
      <c r="Z2" s="453"/>
      <c r="AA2" s="453"/>
      <c r="AB2" s="454"/>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2:56" ht="6" customHeight="1">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row>
    <row r="4" spans="2:56" ht="14.25" customHeight="1">
      <c r="C4" s="466" t="s">
        <v>216</v>
      </c>
      <c r="D4" s="466"/>
      <c r="E4" s="466"/>
      <c r="F4" s="466"/>
      <c r="G4" s="466"/>
      <c r="H4" s="466"/>
      <c r="I4" s="466"/>
      <c r="J4" s="466"/>
      <c r="K4" s="466"/>
      <c r="L4" s="466"/>
      <c r="M4" s="466"/>
      <c r="N4" s="466"/>
      <c r="O4" s="466"/>
      <c r="P4" s="80"/>
      <c r="Q4" s="80"/>
      <c r="R4" s="455"/>
      <c r="S4" s="455"/>
      <c r="T4" s="455"/>
      <c r="U4" s="455"/>
      <c r="V4" s="455"/>
      <c r="W4" s="455"/>
      <c r="X4" s="455"/>
      <c r="Y4" s="80"/>
      <c r="Z4" s="80"/>
      <c r="AA4" s="81"/>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row>
    <row r="5" spans="2:56" ht="19.5" customHeight="1">
      <c r="C5" s="466"/>
      <c r="D5" s="466"/>
      <c r="E5" s="466"/>
      <c r="F5" s="466"/>
      <c r="G5" s="466"/>
      <c r="H5" s="466"/>
      <c r="I5" s="466"/>
      <c r="J5" s="466"/>
      <c r="K5" s="466"/>
      <c r="L5" s="466"/>
      <c r="M5" s="466"/>
      <c r="N5" s="466"/>
      <c r="O5" s="466"/>
      <c r="P5" s="82"/>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row>
    <row r="6" spans="2:56" ht="18" customHeight="1">
      <c r="C6" s="82"/>
      <c r="D6" s="83" t="s">
        <v>118</v>
      </c>
      <c r="E6" s="82"/>
      <c r="F6" s="82"/>
      <c r="G6" s="82"/>
      <c r="H6" s="82"/>
      <c r="I6" s="82"/>
      <c r="J6" s="82"/>
      <c r="K6" s="82"/>
      <c r="L6" s="82"/>
      <c r="M6" s="82"/>
      <c r="N6" s="240"/>
      <c r="O6" s="82"/>
      <c r="P6" s="82"/>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row>
    <row r="7" spans="2:56" ht="6.75" customHeight="1" thickBot="1">
      <c r="C7" s="84"/>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row>
    <row r="8" spans="2:56" ht="9" customHeight="1" thickTop="1">
      <c r="B8" s="85"/>
      <c r="C8" s="86"/>
      <c r="D8" s="86"/>
      <c r="E8" s="86"/>
      <c r="F8" s="86"/>
      <c r="G8" s="86"/>
      <c r="H8" s="86"/>
      <c r="I8" s="86"/>
      <c r="J8" s="86"/>
      <c r="K8" s="86"/>
      <c r="L8" s="87"/>
      <c r="M8" s="193"/>
      <c r="N8" s="89"/>
      <c r="O8" s="90"/>
      <c r="Q8" s="88"/>
      <c r="R8" s="89"/>
      <c r="S8" s="89"/>
      <c r="T8" s="89"/>
      <c r="U8" s="89"/>
      <c r="V8" s="89"/>
      <c r="W8" s="89"/>
      <c r="X8" s="89"/>
      <c r="Y8" s="89"/>
      <c r="Z8" s="89"/>
      <c r="AA8" s="89"/>
      <c r="AB8" s="90"/>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row>
    <row r="9" spans="2:56" ht="14.25" customHeight="1">
      <c r="B9" s="91"/>
      <c r="C9" s="92"/>
      <c r="D9" s="460" t="s">
        <v>53</v>
      </c>
      <c r="E9" s="92"/>
      <c r="F9" s="404" t="s">
        <v>140</v>
      </c>
      <c r="G9" s="202"/>
      <c r="H9" s="404" t="s">
        <v>139</v>
      </c>
      <c r="I9" s="202"/>
      <c r="J9" s="404" t="s">
        <v>204</v>
      </c>
      <c r="K9" s="201"/>
      <c r="L9" s="93"/>
      <c r="M9" s="36"/>
      <c r="N9" s="461" t="s">
        <v>145</v>
      </c>
      <c r="O9" s="194"/>
      <c r="Q9" s="94"/>
      <c r="R9" s="95" t="s">
        <v>69</v>
      </c>
      <c r="S9" s="96"/>
      <c r="T9" s="456" t="s">
        <v>40</v>
      </c>
      <c r="U9" s="96"/>
      <c r="V9" s="456" t="s">
        <v>43</v>
      </c>
      <c r="W9" s="96"/>
      <c r="X9" s="458" t="str">
        <f>表!H1</f>
        <v>所 得 割</v>
      </c>
      <c r="Y9" s="96"/>
      <c r="Z9" s="458" t="s">
        <v>44</v>
      </c>
      <c r="AA9" s="29"/>
      <c r="AB9" s="204"/>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row>
    <row r="10" spans="2:56" ht="14.25" customHeight="1">
      <c r="B10" s="91"/>
      <c r="C10" s="92"/>
      <c r="D10" s="460"/>
      <c r="E10" s="92"/>
      <c r="F10" s="404"/>
      <c r="G10" s="203"/>
      <c r="H10" s="404"/>
      <c r="I10" s="203"/>
      <c r="J10" s="404"/>
      <c r="K10" s="98"/>
      <c r="L10" s="93"/>
      <c r="M10" s="36"/>
      <c r="N10" s="461"/>
      <c r="O10" s="194"/>
      <c r="P10" s="99"/>
      <c r="Q10" s="94"/>
      <c r="R10" s="95"/>
      <c r="S10" s="96"/>
      <c r="T10" s="457"/>
      <c r="U10" s="96"/>
      <c r="V10" s="457"/>
      <c r="W10" s="100"/>
      <c r="X10" s="459"/>
      <c r="Y10" s="96"/>
      <c r="Z10" s="459"/>
      <c r="AA10" s="29"/>
      <c r="AB10" s="204"/>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row>
    <row r="11" spans="2:56" ht="12.75" customHeight="1">
      <c r="B11" s="91"/>
      <c r="C11" s="92"/>
      <c r="D11" s="92"/>
      <c r="E11" s="92"/>
      <c r="F11" s="101"/>
      <c r="G11" s="102"/>
      <c r="H11" s="101"/>
      <c r="I11" s="102"/>
      <c r="J11" s="463"/>
      <c r="K11" s="463"/>
      <c r="L11" s="93"/>
      <c r="M11" s="36"/>
      <c r="N11" s="36"/>
      <c r="O11" s="97"/>
      <c r="P11" s="99"/>
      <c r="Q11" s="94"/>
      <c r="R11" s="36"/>
      <c r="S11" s="36"/>
      <c r="T11" s="89" t="str">
        <f>IF(表!$J$33&lt;&gt;0,"*","")</f>
        <v/>
      </c>
      <c r="U11" s="36"/>
      <c r="V11" s="89" t="str">
        <f>IF(OR(表!F33&lt;&gt;1,表!K33&lt;&gt;"なし"),"*","")</f>
        <v/>
      </c>
      <c r="W11" s="36"/>
      <c r="X11" s="89"/>
      <c r="Y11" s="36"/>
      <c r="Z11" s="89"/>
      <c r="AA11" s="36"/>
      <c r="AB11" s="97"/>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row>
    <row r="12" spans="2:56" ht="15" customHeight="1">
      <c r="B12" s="91"/>
      <c r="C12" s="103" t="s">
        <v>0</v>
      </c>
      <c r="D12" s="92"/>
      <c r="E12" s="92"/>
      <c r="F12" s="200">
        <v>0</v>
      </c>
      <c r="G12" s="104" t="s">
        <v>54</v>
      </c>
      <c r="H12" s="200">
        <v>0</v>
      </c>
      <c r="I12" s="104" t="s">
        <v>54</v>
      </c>
      <c r="J12" s="218">
        <v>0</v>
      </c>
      <c r="K12" s="104" t="s">
        <v>54</v>
      </c>
      <c r="L12" s="210" t="str">
        <f>IF(表!C11=TRUE,"非自","")</f>
        <v/>
      </c>
      <c r="M12" s="36"/>
      <c r="N12" s="195">
        <f>IF(SUM(F13,H13,J13)&lt;0,0,SUM(F13,H13,J13))</f>
        <v>0</v>
      </c>
      <c r="O12" s="196" t="str">
        <f>IF(表!D11=0,"","医支")&amp;IF(表!E11=0,"","介")</f>
        <v/>
      </c>
      <c r="P12" s="99"/>
      <c r="Q12" s="106"/>
      <c r="R12" s="107" t="s">
        <v>39</v>
      </c>
      <c r="S12" s="108"/>
      <c r="T12" s="109">
        <f>表!F21</f>
        <v>0</v>
      </c>
      <c r="U12" s="110" t="s">
        <v>119</v>
      </c>
      <c r="V12" s="109">
        <f>表!G21</f>
        <v>0</v>
      </c>
      <c r="W12" s="110" t="s">
        <v>120</v>
      </c>
      <c r="X12" s="109">
        <f>表!H21</f>
        <v>0</v>
      </c>
      <c r="Y12" s="111" t="s">
        <v>121</v>
      </c>
      <c r="Z12" s="109">
        <f>表!I21</f>
        <v>0</v>
      </c>
      <c r="AA12" s="237" t="str">
        <f>IF(Z12&lt;T12+V12+X12,"*","")</f>
        <v/>
      </c>
      <c r="AB12" s="112"/>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row>
    <row r="13" spans="2:56" ht="12.75" customHeight="1">
      <c r="B13" s="91"/>
      <c r="C13" s="113" t="str">
        <f>IF(D13="","",表!O20)</f>
        <v/>
      </c>
      <c r="D13" s="353"/>
      <c r="E13" s="232" t="str">
        <f>"(所得)"&amp;IF(表!C53=表!J53,"","*")</f>
        <v>(所得)</v>
      </c>
      <c r="F13" s="462">
        <f>表!M11</f>
        <v>0</v>
      </c>
      <c r="G13" s="462"/>
      <c r="H13" s="115">
        <f>表!O11</f>
        <v>0</v>
      </c>
      <c r="I13" s="104" t="str">
        <f>IF(AND(H13&gt;1,表!B11&gt;=4),"*","")</f>
        <v/>
      </c>
      <c r="J13" s="116">
        <f>表!P11</f>
        <v>0</v>
      </c>
      <c r="K13" s="117"/>
      <c r="L13" s="105"/>
      <c r="M13" s="36"/>
      <c r="N13" s="197">
        <f>表!H11</f>
        <v>0</v>
      </c>
      <c r="O13" s="198"/>
      <c r="P13" s="99"/>
      <c r="Q13" s="106"/>
      <c r="R13" s="376"/>
      <c r="S13" s="377"/>
      <c r="T13" s="378" t="str">
        <f>TEXT(表!F2-ROUNDUP(表!F2*表!B21,0),"#,###")&amp;"円×"&amp;表!D17&amp;"人"</f>
        <v>8,346円×0人</v>
      </c>
      <c r="U13" s="379"/>
      <c r="V13" s="379"/>
      <c r="W13" s="379"/>
      <c r="X13" s="380" t="str">
        <f>TEXT(表!I17,"#,###円")&amp;"×"&amp;表!H2*100&amp;"/100"</f>
        <v>円×7.66/100</v>
      </c>
      <c r="Y13" s="377"/>
      <c r="Z13" s="380" t="str">
        <f>"限度額"&amp;DBCS(表!I2/10000)&amp;"万円"</f>
        <v>限度額６５万円</v>
      </c>
      <c r="AA13" s="377"/>
      <c r="AB13" s="381"/>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row>
    <row r="14" spans="2:56" ht="15" customHeight="1">
      <c r="B14" s="91"/>
      <c r="C14" s="103" t="s">
        <v>1</v>
      </c>
      <c r="D14" s="92"/>
      <c r="E14" s="92"/>
      <c r="F14" s="200">
        <v>0</v>
      </c>
      <c r="G14" s="104" t="s">
        <v>54</v>
      </c>
      <c r="H14" s="200">
        <v>0</v>
      </c>
      <c r="I14" s="104" t="s">
        <v>54</v>
      </c>
      <c r="J14" s="218">
        <v>0</v>
      </c>
      <c r="K14" s="104" t="s">
        <v>54</v>
      </c>
      <c r="L14" s="210" t="str">
        <f>IF(表!C12=TRUE,"非自","")</f>
        <v/>
      </c>
      <c r="M14" s="36"/>
      <c r="N14" s="195">
        <f>IF(SUM(F15,H15,J15)&lt;0,0,SUM(F15,H15,J15))</f>
        <v>0</v>
      </c>
      <c r="O14" s="196" t="str">
        <f>IF(表!D12=0,"","医支")&amp;IF(表!E12=0,"","介")</f>
        <v/>
      </c>
      <c r="P14" s="121"/>
      <c r="Q14" s="118"/>
      <c r="R14" s="374" t="str">
        <f>IF(表!B44&gt;=1,"未就学減","")</f>
        <v/>
      </c>
      <c r="S14" s="367"/>
      <c r="T14" s="375" t="str">
        <f>IF(表!B44&gt;=1,TEXT(表!D46,"#,###")&amp;"円×"&amp;表!B44&amp;"人","")</f>
        <v/>
      </c>
      <c r="U14" s="367"/>
      <c r="V14" s="368"/>
      <c r="W14" s="367"/>
      <c r="X14" s="367"/>
      <c r="Y14" s="367"/>
      <c r="Z14" s="367"/>
      <c r="AA14" s="367"/>
      <c r="AB14" s="36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row>
    <row r="15" spans="2:56" ht="12.75" customHeight="1">
      <c r="B15" s="91"/>
      <c r="C15" s="113" t="str">
        <f>IF(D15="","",表!O21)</f>
        <v/>
      </c>
      <c r="D15" s="353"/>
      <c r="E15" s="114" t="str">
        <f>"(所得)"&amp;IF(表!C54=表!J54,"","*")</f>
        <v>(所得)</v>
      </c>
      <c r="F15" s="414">
        <f>表!M12</f>
        <v>0</v>
      </c>
      <c r="G15" s="414"/>
      <c r="H15" s="115">
        <f>表!O12</f>
        <v>0</v>
      </c>
      <c r="I15" s="104" t="str">
        <f>IF(AND(H15&gt;=1,表!B12&gt;=4),"*","")</f>
        <v/>
      </c>
      <c r="J15" s="116">
        <f>表!P12</f>
        <v>0</v>
      </c>
      <c r="K15" s="117"/>
      <c r="L15" s="105"/>
      <c r="M15" s="36"/>
      <c r="N15" s="197">
        <f>表!H12</f>
        <v>0</v>
      </c>
      <c r="O15" s="198"/>
      <c r="P15" s="122"/>
      <c r="Q15" s="118"/>
      <c r="R15" s="119"/>
      <c r="S15" s="36"/>
      <c r="T15" s="36" t="str">
        <f>IF(表!J33&lt;&gt;0,"*","")</f>
        <v/>
      </c>
      <c r="U15" s="36"/>
      <c r="V15" s="36" t="str">
        <f>IF(OR(表!F33&lt;&gt;1,表!K33&lt;&gt;"なし"),"*","")</f>
        <v/>
      </c>
      <c r="W15" s="36"/>
      <c r="X15" s="36"/>
      <c r="Y15" s="36"/>
      <c r="Z15" s="36"/>
      <c r="AA15" s="36"/>
      <c r="AB15" s="120"/>
      <c r="AD15" s="79"/>
      <c r="AE15" s="350"/>
      <c r="AF15" s="350"/>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row>
    <row r="16" spans="2:56" ht="15" customHeight="1">
      <c r="B16" s="91"/>
      <c r="C16" s="103" t="s">
        <v>2</v>
      </c>
      <c r="D16" s="92"/>
      <c r="E16" s="92"/>
      <c r="F16" s="200">
        <v>0</v>
      </c>
      <c r="G16" s="104" t="s">
        <v>54</v>
      </c>
      <c r="H16" s="200">
        <v>0</v>
      </c>
      <c r="I16" s="104" t="s">
        <v>54</v>
      </c>
      <c r="J16" s="218">
        <v>0</v>
      </c>
      <c r="K16" s="104" t="s">
        <v>54</v>
      </c>
      <c r="L16" s="210" t="str">
        <f>IF(表!C13=TRUE,"非自","")</f>
        <v/>
      </c>
      <c r="M16" s="36"/>
      <c r="N16" s="195">
        <f>IF(SUM(F17,H17,J17)&lt;0,0,SUM(F17,H17,J17))</f>
        <v>0</v>
      </c>
      <c r="O16" s="196" t="str">
        <f>IF(表!D13=0,"","医支")&amp;IF(表!E13=0,"","介")</f>
        <v/>
      </c>
      <c r="P16" s="121"/>
      <c r="Q16" s="106"/>
      <c r="R16" s="123" t="s">
        <v>41</v>
      </c>
      <c r="S16" s="124"/>
      <c r="T16" s="125">
        <f>表!F22</f>
        <v>0</v>
      </c>
      <c r="U16" s="126" t="s">
        <v>119</v>
      </c>
      <c r="V16" s="125">
        <f>表!G22</f>
        <v>0</v>
      </c>
      <c r="W16" s="126" t="s">
        <v>120</v>
      </c>
      <c r="X16" s="125">
        <f>表!H22</f>
        <v>0</v>
      </c>
      <c r="Y16" s="127" t="s">
        <v>70</v>
      </c>
      <c r="Z16" s="125">
        <f>表!I22</f>
        <v>0</v>
      </c>
      <c r="AA16" s="128" t="str">
        <f>IF(Z16&lt;T16+V16+X16,"*","")</f>
        <v/>
      </c>
      <c r="AB16" s="129"/>
      <c r="AD16" s="79"/>
      <c r="AE16" s="352"/>
      <c r="AF16" s="351"/>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row>
    <row r="17" spans="2:56" ht="12.75" customHeight="1">
      <c r="B17" s="91"/>
      <c r="C17" s="113" t="str">
        <f>IF(D17="","",表!O22)</f>
        <v/>
      </c>
      <c r="D17" s="353"/>
      <c r="E17" s="114" t="str">
        <f>"(所得)"&amp;IF(表!C55=表!J55,"","*")</f>
        <v>(所得)</v>
      </c>
      <c r="F17" s="414">
        <f>表!M13</f>
        <v>0</v>
      </c>
      <c r="G17" s="414"/>
      <c r="H17" s="115">
        <f>表!O13</f>
        <v>0</v>
      </c>
      <c r="I17" s="104" t="str">
        <f>IF(AND(H17&gt;=1,表!B13&gt;=4),"*","")</f>
        <v/>
      </c>
      <c r="J17" s="116">
        <f>表!P13</f>
        <v>0</v>
      </c>
      <c r="K17" s="117"/>
      <c r="L17" s="105"/>
      <c r="M17" s="36"/>
      <c r="N17" s="197">
        <f>表!H13</f>
        <v>0</v>
      </c>
      <c r="O17" s="198"/>
      <c r="P17" s="122"/>
      <c r="Q17" s="106"/>
      <c r="R17" s="382"/>
      <c r="S17" s="377"/>
      <c r="T17" s="378" t="str">
        <f>TEXT(表!F3-ROUNDUP(表!F3*表!B21,0),"#,###")&amp;"円×"&amp;表!D17&amp;"人"</f>
        <v>3,222円×0人</v>
      </c>
      <c r="U17" s="379"/>
      <c r="V17" s="379"/>
      <c r="W17" s="379"/>
      <c r="X17" s="380" t="str">
        <f>TEXT(表!I17,"#,###")&amp;"円×"&amp;表!H3*100&amp;"/100"</f>
        <v>円×2.99/100</v>
      </c>
      <c r="Y17" s="377"/>
      <c r="Z17" s="380" t="str">
        <f>"限度額"&amp;DBCS(表!I3/10000)&amp;"万円"</f>
        <v>限度額２４万円</v>
      </c>
      <c r="AA17" s="377"/>
      <c r="AB17" s="383"/>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row>
    <row r="18" spans="2:56" ht="15" customHeight="1">
      <c r="B18" s="91"/>
      <c r="C18" s="103" t="s">
        <v>3</v>
      </c>
      <c r="D18" s="92"/>
      <c r="E18" s="92"/>
      <c r="F18" s="200">
        <v>0</v>
      </c>
      <c r="G18" s="104" t="s">
        <v>54</v>
      </c>
      <c r="H18" s="200">
        <v>0</v>
      </c>
      <c r="I18" s="104" t="s">
        <v>54</v>
      </c>
      <c r="J18" s="218">
        <v>0</v>
      </c>
      <c r="K18" s="104" t="s">
        <v>54</v>
      </c>
      <c r="L18" s="210" t="str">
        <f>IF(表!C14=TRUE,"非自","")</f>
        <v/>
      </c>
      <c r="M18" s="36"/>
      <c r="N18" s="195">
        <f>IF(SUM(F19,H19,J19)&lt;0,0,SUM(F19,H19,J19))</f>
        <v>0</v>
      </c>
      <c r="O18" s="196" t="str">
        <f>IF(表!D14=0,"","医支")&amp;IF(表!E14=0,"","介")</f>
        <v/>
      </c>
      <c r="P18" s="121"/>
      <c r="Q18" s="118"/>
      <c r="R18" s="374" t="str">
        <f>IF(表!B44&gt;=1,"未就学減","")</f>
        <v/>
      </c>
      <c r="S18" s="367"/>
      <c r="T18" s="375" t="str">
        <f>IF(表!B44&gt;=1,TEXT(表!E46,"#,###")&amp;"円×"&amp;表!B44&amp;"人","")</f>
        <v/>
      </c>
      <c r="U18" s="367"/>
      <c r="V18" s="368"/>
      <c r="W18" s="367"/>
      <c r="X18" s="367"/>
      <c r="Y18" s="367"/>
      <c r="Z18" s="367"/>
      <c r="AA18" s="367"/>
      <c r="AB18" s="371"/>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row>
    <row r="19" spans="2:56" ht="12.75" customHeight="1">
      <c r="B19" s="91"/>
      <c r="C19" s="113" t="str">
        <f>IF(D19="","",表!O23)</f>
        <v/>
      </c>
      <c r="D19" s="353"/>
      <c r="E19" s="114" t="str">
        <f>"(所得)"&amp;IF(表!C56=表!J56,"","*")</f>
        <v>(所得)</v>
      </c>
      <c r="F19" s="414">
        <f>表!M14</f>
        <v>0</v>
      </c>
      <c r="G19" s="414"/>
      <c r="H19" s="115">
        <f>表!O14</f>
        <v>0</v>
      </c>
      <c r="I19" s="104" t="str">
        <f>IF(AND(H19&gt;=1,表!B14&gt;=4),"*","")</f>
        <v/>
      </c>
      <c r="J19" s="116">
        <f>表!P14</f>
        <v>0</v>
      </c>
      <c r="K19" s="117"/>
      <c r="L19" s="105"/>
      <c r="M19" s="36"/>
      <c r="N19" s="197">
        <f>表!H14</f>
        <v>0</v>
      </c>
      <c r="O19" s="198"/>
      <c r="P19" s="122"/>
      <c r="Q19" s="118"/>
      <c r="R19" s="119"/>
      <c r="S19" s="36"/>
      <c r="T19" s="36"/>
      <c r="U19" s="36"/>
      <c r="V19" s="36"/>
      <c r="W19" s="36"/>
      <c r="X19" s="36"/>
      <c r="Y19" s="36"/>
      <c r="Z19" s="36"/>
      <c r="AA19" s="36"/>
      <c r="AB19" s="120"/>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row>
    <row r="20" spans="2:56" ht="15" customHeight="1">
      <c r="B20" s="91"/>
      <c r="C20" s="103" t="s">
        <v>4</v>
      </c>
      <c r="D20" s="92"/>
      <c r="E20" s="92"/>
      <c r="F20" s="200">
        <v>0</v>
      </c>
      <c r="G20" s="104" t="s">
        <v>54</v>
      </c>
      <c r="H20" s="200">
        <v>0</v>
      </c>
      <c r="I20" s="104" t="s">
        <v>54</v>
      </c>
      <c r="J20" s="218">
        <v>0</v>
      </c>
      <c r="K20" s="104" t="s">
        <v>54</v>
      </c>
      <c r="L20" s="210" t="str">
        <f>IF(表!C15=TRUE,"非自","")</f>
        <v/>
      </c>
      <c r="M20" s="36"/>
      <c r="N20" s="195">
        <f>IF(SUM(F21,H21,J21)&lt;0,0,SUM(F21,H21,J21))</f>
        <v>0</v>
      </c>
      <c r="O20" s="196" t="str">
        <f>IF(表!D15=0,"","医支")&amp;IF(表!E15=0,"","介")</f>
        <v/>
      </c>
      <c r="P20" s="121"/>
      <c r="Q20" s="106"/>
      <c r="R20" s="130" t="s">
        <v>42</v>
      </c>
      <c r="S20" s="131"/>
      <c r="T20" s="132">
        <f>表!F23</f>
        <v>0</v>
      </c>
      <c r="U20" s="133" t="s">
        <v>119</v>
      </c>
      <c r="V20" s="132">
        <f>表!G23</f>
        <v>0</v>
      </c>
      <c r="W20" s="133" t="s">
        <v>119</v>
      </c>
      <c r="X20" s="132">
        <f>表!H23</f>
        <v>0</v>
      </c>
      <c r="Y20" s="134" t="s">
        <v>70</v>
      </c>
      <c r="Z20" s="132">
        <f>表!I23</f>
        <v>0</v>
      </c>
      <c r="AA20" s="130" t="str">
        <f>IF(Z20&lt;T20+V20+X20,"*","")</f>
        <v/>
      </c>
      <c r="AB20" s="135"/>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row>
    <row r="21" spans="2:56" ht="12.75" customHeight="1">
      <c r="B21" s="91"/>
      <c r="C21" s="113" t="str">
        <f>IF(D21="","",表!O24)</f>
        <v/>
      </c>
      <c r="D21" s="353"/>
      <c r="E21" s="114" t="str">
        <f>"(所得)"&amp;IF(表!C57=表!J57,"","*")</f>
        <v>(所得)</v>
      </c>
      <c r="F21" s="414">
        <f>表!M15</f>
        <v>0</v>
      </c>
      <c r="G21" s="414"/>
      <c r="H21" s="115">
        <f>表!O15</f>
        <v>0</v>
      </c>
      <c r="I21" s="104" t="str">
        <f>IF(AND(H21&gt;=1,表!B15&gt;=4),"*","")</f>
        <v/>
      </c>
      <c r="J21" s="116">
        <f>表!P15</f>
        <v>0</v>
      </c>
      <c r="K21" s="117"/>
      <c r="L21" s="105"/>
      <c r="M21" s="36"/>
      <c r="N21" s="197">
        <f>表!H15</f>
        <v>0</v>
      </c>
      <c r="O21" s="198"/>
      <c r="P21" s="122"/>
      <c r="Q21" s="106"/>
      <c r="R21" s="377"/>
      <c r="S21" s="377"/>
      <c r="T21" s="379" t="str">
        <f>TEXT(表!F4-ROUNDUP(表!F4*表!B21,0),"#,###")&amp;"円×"&amp;表!E17&amp;"人"</f>
        <v>2,416円×0人</v>
      </c>
      <c r="U21" s="379"/>
      <c r="V21" s="379"/>
      <c r="W21" s="379"/>
      <c r="X21" s="380" t="str">
        <f>TEXT(表!J17,"#,###")&amp;"円×"&amp;表!H4*100&amp;"/100"</f>
        <v>円×1.9/100</v>
      </c>
      <c r="Y21" s="377"/>
      <c r="Z21" s="380" t="str">
        <f>"限度額"&amp;DBCS(表!I4/10000)&amp;"万円"</f>
        <v>限度額１７万円</v>
      </c>
      <c r="AA21" s="377"/>
      <c r="AB21" s="384"/>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row>
    <row r="22" spans="2:56" ht="15" customHeight="1">
      <c r="B22" s="91"/>
      <c r="C22" s="103" t="s">
        <v>5</v>
      </c>
      <c r="D22" s="241"/>
      <c r="E22" s="92"/>
      <c r="F22" s="200">
        <v>0</v>
      </c>
      <c r="G22" s="104" t="s">
        <v>54</v>
      </c>
      <c r="H22" s="200">
        <v>0</v>
      </c>
      <c r="I22" s="104" t="s">
        <v>54</v>
      </c>
      <c r="J22" s="218">
        <v>0</v>
      </c>
      <c r="K22" s="104" t="s">
        <v>54</v>
      </c>
      <c r="L22" s="210" t="str">
        <f>IF(表!C16=TRUE,"非自","")</f>
        <v/>
      </c>
      <c r="M22" s="36"/>
      <c r="N22" s="195">
        <f>IF(SUM(F23,H23,J23)&lt;0,0,SUM(F23,H23,J23))</f>
        <v>0</v>
      </c>
      <c r="O22" s="196" t="str">
        <f>IF(表!D16=0,"","医支")&amp;IF(表!E16=0,"","介")</f>
        <v/>
      </c>
      <c r="P22" s="121"/>
      <c r="Q22" s="118"/>
      <c r="R22" s="367"/>
      <c r="S22" s="367"/>
      <c r="T22" s="367"/>
      <c r="U22" s="372"/>
      <c r="V22" s="367"/>
      <c r="W22" s="367"/>
      <c r="X22" s="367"/>
      <c r="Y22" s="367"/>
      <c r="Z22" s="367"/>
      <c r="AA22" s="367"/>
      <c r="AB22" s="373"/>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row>
    <row r="23" spans="2:56" ht="12.75" customHeight="1">
      <c r="B23" s="91"/>
      <c r="C23" s="113" t="str">
        <f>IF(D23="","",表!O25)</f>
        <v/>
      </c>
      <c r="D23" s="353"/>
      <c r="E23" s="114" t="str">
        <f>"(所得)"&amp;IF(表!C58=表!J58,"","*")</f>
        <v>(所得)</v>
      </c>
      <c r="F23" s="414">
        <f>表!M16</f>
        <v>0</v>
      </c>
      <c r="G23" s="414"/>
      <c r="H23" s="115">
        <f>表!O16</f>
        <v>0</v>
      </c>
      <c r="I23" s="104" t="str">
        <f>IF(AND(H23&gt;=1,表!B16&gt;=4),"*","")</f>
        <v/>
      </c>
      <c r="J23" s="116">
        <f>表!P16</f>
        <v>0</v>
      </c>
      <c r="K23" s="117"/>
      <c r="L23" s="93"/>
      <c r="M23" s="36"/>
      <c r="N23" s="197">
        <f>表!H16</f>
        <v>0</v>
      </c>
      <c r="O23" s="97"/>
      <c r="P23" s="122"/>
      <c r="Q23" s="136"/>
      <c r="R23" s="137"/>
      <c r="S23" s="137"/>
      <c r="T23" s="137"/>
      <c r="U23" s="137"/>
      <c r="V23" s="137"/>
      <c r="W23" s="137"/>
      <c r="X23" s="137"/>
      <c r="Y23" s="137"/>
      <c r="Z23" s="137"/>
      <c r="AA23" s="137"/>
      <c r="AB23" s="370"/>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row>
    <row r="24" spans="2:56" ht="15" customHeight="1" thickBot="1">
      <c r="B24" s="138"/>
      <c r="C24" s="139"/>
      <c r="D24" s="139"/>
      <c r="E24" s="140"/>
      <c r="F24" s="141" t="s">
        <v>142</v>
      </c>
      <c r="G24" s="142"/>
      <c r="H24" s="141" t="s">
        <v>143</v>
      </c>
      <c r="I24" s="142"/>
      <c r="J24" s="405" t="s">
        <v>144</v>
      </c>
      <c r="K24" s="405"/>
      <c r="L24" s="143"/>
      <c r="M24" s="199"/>
      <c r="N24" s="464" t="s">
        <v>141</v>
      </c>
      <c r="O24" s="465"/>
      <c r="P24" s="121"/>
      <c r="Q24" s="451" t="s">
        <v>66</v>
      </c>
      <c r="R24" s="451"/>
      <c r="S24" s="36"/>
      <c r="T24" s="144">
        <f>T12+T16+T20</f>
        <v>0</v>
      </c>
      <c r="U24" s="36"/>
      <c r="V24" s="144">
        <f>V12+V16+V20</f>
        <v>0</v>
      </c>
      <c r="W24" s="36"/>
      <c r="X24" s="144">
        <f>X12+X16+X20</f>
        <v>0</v>
      </c>
      <c r="Y24" s="36"/>
      <c r="Z24" s="144">
        <f>Z12+Z16+Z20</f>
        <v>0</v>
      </c>
      <c r="AA24" s="36"/>
      <c r="AB24" s="36"/>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row>
    <row r="25" spans="2:56" ht="15.75" customHeight="1" thickTop="1">
      <c r="B25" s="36"/>
      <c r="C25" s="145" t="str">
        <f>表!H27&amp;表!I27&amp;表!H28&amp;表!L34</f>
        <v/>
      </c>
      <c r="D25" s="36"/>
      <c r="E25" s="36"/>
      <c r="F25" s="36"/>
      <c r="G25" s="36"/>
      <c r="H25" s="36"/>
      <c r="I25" s="36"/>
      <c r="J25" s="36"/>
      <c r="K25" s="36"/>
      <c r="L25" s="36"/>
      <c r="M25" s="36"/>
      <c r="N25" s="36"/>
      <c r="O25" s="146" t="str">
        <f>表!G33&amp;表!L33&amp;表!G34</f>
        <v/>
      </c>
      <c r="P25" s="99"/>
      <c r="Q25" s="30"/>
      <c r="R25" s="446" t="str">
        <f>"軽減判定総所得 = "&amp;TEXT(表!R17,"#,##0円")</f>
        <v>軽減判定総所得 = 0円</v>
      </c>
      <c r="S25" s="446"/>
      <c r="T25" s="446"/>
      <c r="U25" s="30"/>
      <c r="V25" s="447" t="str">
        <f>IF(表!$B$21=0,表!$C$21,"均等割と平等割が、"&amp;DBCS(表!$C$21)&amp;"されています。")&amp;IF(表!$B$44&gt;0,"未就学児軽減"&amp;表!B44&amp;"人。","")</f>
        <v>均等割と平等割が、７割軽減されています。</v>
      </c>
      <c r="W25" s="447"/>
      <c r="X25" s="447"/>
      <c r="Y25" s="447"/>
      <c r="Z25" s="447"/>
      <c r="AA25" s="447"/>
      <c r="AB25" s="147" t="str">
        <f>IF(表!C22="自動","","※")</f>
        <v/>
      </c>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row>
    <row r="26" spans="2:56" ht="4.5" customHeight="1" thickBot="1">
      <c r="C26" s="84"/>
      <c r="P26" s="9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row>
    <row r="27" spans="2:56" ht="23.25" customHeight="1" thickTop="1" thickBot="1">
      <c r="Q27" s="448" t="s">
        <v>45</v>
      </c>
      <c r="R27" s="448"/>
      <c r="S27" s="448"/>
      <c r="T27" s="448"/>
      <c r="U27" s="449">
        <f>表!I24</f>
        <v>0</v>
      </c>
      <c r="V27" s="449"/>
      <c r="W27" s="148" t="s">
        <v>46</v>
      </c>
      <c r="X27" s="149" t="s">
        <v>68</v>
      </c>
      <c r="Y27" s="450" t="str">
        <f>TEXT(ROUND(U27/12,0),"#,##0")&amp;"円）"</f>
        <v>0円）</v>
      </c>
      <c r="Z27" s="450"/>
      <c r="AA27" s="450"/>
      <c r="AB27" s="192"/>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row>
    <row r="28" spans="2:56" ht="21.75" customHeight="1" thickTop="1">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row>
    <row r="29" spans="2:56" ht="21.75" customHeight="1">
      <c r="C29" s="30"/>
      <c r="D29" s="30"/>
      <c r="E29" s="412"/>
      <c r="F29" s="412"/>
      <c r="G29" s="412"/>
      <c r="H29" s="412"/>
      <c r="I29" s="412"/>
      <c r="J29" s="412"/>
      <c r="K29" s="412"/>
      <c r="L29" s="412"/>
      <c r="M29" s="412"/>
      <c r="N29" s="412"/>
      <c r="O29" s="412"/>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row>
    <row r="30" spans="2:56" ht="14.25" customHeight="1">
      <c r="C30" s="151" t="s">
        <v>237</v>
      </c>
      <c r="D30" s="152"/>
      <c r="E30" s="413"/>
      <c r="F30" s="413"/>
      <c r="G30" s="413"/>
      <c r="H30" s="413"/>
      <c r="I30" s="413"/>
      <c r="J30" s="413"/>
      <c r="K30" s="413"/>
      <c r="L30" s="413"/>
      <c r="M30" s="413"/>
      <c r="N30" s="413"/>
      <c r="O30" s="413"/>
      <c r="P30" s="150"/>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row>
    <row r="31" spans="2:56" ht="11.25" customHeight="1">
      <c r="C31" s="153" t="s">
        <v>52</v>
      </c>
      <c r="D31" s="427" t="str">
        <f>T9</f>
        <v>被保険者
均等割</v>
      </c>
      <c r="E31" s="427"/>
      <c r="F31" s="408" t="str">
        <f>V9</f>
        <v>世帯別
平等割</v>
      </c>
      <c r="G31" s="423"/>
      <c r="H31" s="409"/>
      <c r="I31" s="408" t="str">
        <f>X9</f>
        <v>所 得 割</v>
      </c>
      <c r="J31" s="423"/>
      <c r="K31" s="423"/>
      <c r="L31" s="423"/>
      <c r="M31" s="409"/>
      <c r="N31" s="408" t="str">
        <f>表!I1</f>
        <v>限 度 額</v>
      </c>
      <c r="O31" s="409"/>
      <c r="P31" s="150"/>
      <c r="Q31" s="150"/>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row>
    <row r="32" spans="2:56">
      <c r="C32" s="154" t="s">
        <v>39</v>
      </c>
      <c r="D32" s="428" t="str">
        <f>DBCS(TEXT(表!F2,"#,### 円　"))</f>
        <v>２７，８２０　円　</v>
      </c>
      <c r="E32" s="428"/>
      <c r="F32" s="410" t="str">
        <f>DBCS(TEXT(表!G2,"#,### 円　"))</f>
        <v>２７，３１４　円　</v>
      </c>
      <c r="G32" s="424"/>
      <c r="H32" s="411"/>
      <c r="I32" s="434" t="str">
        <f>DBCS(表!H2*100&amp;"/100")</f>
        <v>７．６６／１００</v>
      </c>
      <c r="J32" s="435"/>
      <c r="K32" s="435"/>
      <c r="L32" s="435"/>
      <c r="M32" s="436"/>
      <c r="N32" s="410" t="str">
        <f>DBCS(TEXT(表!I2,"#,### 円　"))</f>
        <v>６５０，０００　円　</v>
      </c>
      <c r="O32" s="411"/>
      <c r="P32" s="30"/>
      <c r="Q32" s="150"/>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row>
    <row r="33" spans="1:56">
      <c r="C33" s="155" t="s">
        <v>41</v>
      </c>
      <c r="D33" s="429" t="str">
        <f>DBCS(TEXT(表!F3,"#,### 円　"))</f>
        <v>１０，７４１　円　</v>
      </c>
      <c r="E33" s="429"/>
      <c r="F33" s="415" t="str">
        <f>DBCS(TEXT(表!G3,"#,### 円　"))</f>
        <v>１０，５４５　円　</v>
      </c>
      <c r="G33" s="425"/>
      <c r="H33" s="416"/>
      <c r="I33" s="437" t="str">
        <f>DBCS(表!H3*100&amp;"/100")</f>
        <v>２．９９／１００</v>
      </c>
      <c r="J33" s="438"/>
      <c r="K33" s="438"/>
      <c r="L33" s="438"/>
      <c r="M33" s="439"/>
      <c r="N33" s="415" t="str">
        <f>DBCS(TEXT(表!I3,"#,### 円　"))</f>
        <v>２４０，０００　円　</v>
      </c>
      <c r="O33" s="416"/>
      <c r="P33" s="30"/>
      <c r="Q33" s="30"/>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row>
    <row r="34" spans="1:56">
      <c r="C34" s="156" t="s">
        <v>42</v>
      </c>
      <c r="D34" s="430" t="str">
        <f>DBCS(TEXT(表!F4,"#,### 円　"))</f>
        <v>８，０５６　円　</v>
      </c>
      <c r="E34" s="430"/>
      <c r="F34" s="406" t="str">
        <f>DBCS(TEXT(表!G4,"#,### 円　"))</f>
        <v>６，０４５　円　</v>
      </c>
      <c r="G34" s="426"/>
      <c r="H34" s="407"/>
      <c r="I34" s="431" t="str">
        <f>DBCS(表!H4*100&amp;"/100")</f>
        <v>１．９／１００</v>
      </c>
      <c r="J34" s="432"/>
      <c r="K34" s="432"/>
      <c r="L34" s="432"/>
      <c r="M34" s="433"/>
      <c r="N34" s="406" t="str">
        <f>DBCS(TEXT(表!I4,"#,### 円　"))</f>
        <v>１７０，０００　円　</v>
      </c>
      <c r="O34" s="407"/>
      <c r="P34" s="30"/>
      <c r="Q34" s="30"/>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row>
    <row r="35" spans="1:56">
      <c r="Q35" s="30"/>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row>
    <row r="36" spans="1:56">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row>
    <row r="37" spans="1:56">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row>
    <row r="38" spans="1:56">
      <c r="C38" s="150"/>
      <c r="D38" s="150"/>
      <c r="E38" s="150"/>
      <c r="F38" s="150"/>
      <c r="G38" s="150"/>
      <c r="H38" s="150"/>
      <c r="I38" s="150"/>
      <c r="J38" s="150"/>
      <c r="K38" s="150"/>
      <c r="L38" s="30"/>
      <c r="M38" s="30"/>
      <c r="N38" s="30"/>
      <c r="O38" s="30"/>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row>
    <row r="39" spans="1:56">
      <c r="C39" s="440" t="s">
        <v>47</v>
      </c>
      <c r="D39" s="441"/>
      <c r="E39" s="441"/>
      <c r="F39" s="441"/>
      <c r="G39" s="441"/>
      <c r="H39" s="441"/>
      <c r="I39" s="441"/>
      <c r="J39" s="441"/>
      <c r="K39" s="441"/>
      <c r="L39" s="441"/>
      <c r="M39" s="442"/>
      <c r="N39" s="157" t="s">
        <v>48</v>
      </c>
      <c r="O39" s="158" t="str">
        <f>表!D17+表!F28&amp;"人の場合"</f>
        <v>0人の場合</v>
      </c>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row>
    <row r="40" spans="1:56">
      <c r="C40" s="443" t="str">
        <f>IF(表!P65&gt;=2,表!M36&amp;表!M37,表!M36)</f>
        <v>４３万円</v>
      </c>
      <c r="D40" s="444"/>
      <c r="E40" s="444"/>
      <c r="F40" s="444"/>
      <c r="G40" s="444"/>
      <c r="H40" s="444"/>
      <c r="I40" s="444"/>
      <c r="J40" s="444"/>
      <c r="K40" s="444"/>
      <c r="L40" s="444"/>
      <c r="M40" s="445"/>
      <c r="N40" s="159" t="s">
        <v>49</v>
      </c>
      <c r="O40" s="160" t="str">
        <f>IF(表!D17=0,"",(表!A27-1)/10000&amp;"万円")</f>
        <v/>
      </c>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row>
    <row r="41" spans="1:56" ht="13.5" customHeight="1">
      <c r="C41" s="417" t="str">
        <f>IF(表!P65&gt;=2,表!M36&amp;表!M38&amp;表!M37,表!M36&amp;表!M38)</f>
        <v>４３万円＋｛２９万５千円×（被保険者数+特定同一世帯所属者数）｝</v>
      </c>
      <c r="D41" s="418"/>
      <c r="E41" s="418"/>
      <c r="F41" s="418"/>
      <c r="G41" s="418"/>
      <c r="H41" s="418"/>
      <c r="I41" s="418"/>
      <c r="J41" s="418"/>
      <c r="K41" s="418"/>
      <c r="L41" s="418"/>
      <c r="M41" s="419"/>
      <c r="N41" s="161" t="s">
        <v>50</v>
      </c>
      <c r="O41" s="160" t="str">
        <f>IF(表!D17=0,"",(表!A28-1)/10000&amp;"万円")</f>
        <v/>
      </c>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row>
    <row r="42" spans="1:56">
      <c r="C42" s="420" t="str">
        <f>IF(表!P65&gt;=2,表!M36&amp;表!M39&amp;表!M37,表!M36&amp;表!M39)</f>
        <v>４３万円＋｛５４万５千円×（被保険者数+特定同一世帯所属者数）｝</v>
      </c>
      <c r="D42" s="421"/>
      <c r="E42" s="421"/>
      <c r="F42" s="421"/>
      <c r="G42" s="421"/>
      <c r="H42" s="421"/>
      <c r="I42" s="421"/>
      <c r="J42" s="421"/>
      <c r="K42" s="421"/>
      <c r="L42" s="421"/>
      <c r="M42" s="422"/>
      <c r="N42" s="162" t="s">
        <v>51</v>
      </c>
      <c r="O42" s="160" t="str">
        <f>IF(表!D17=0,"",(表!A29-1)/10000&amp;"万円")</f>
        <v/>
      </c>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row>
    <row r="43" spans="1:56">
      <c r="C43" s="163" t="s">
        <v>67</v>
      </c>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row>
    <row r="44" spans="1:56">
      <c r="C44" s="356"/>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row>
    <row r="45" spans="1:56">
      <c r="C45" s="99"/>
      <c r="D45" s="99"/>
      <c r="E45" s="99"/>
      <c r="F45" s="99"/>
      <c r="G45" s="99"/>
      <c r="H45" s="99"/>
      <c r="I45" s="99"/>
      <c r="J45" s="99"/>
      <c r="K45" s="99"/>
      <c r="L45" s="99"/>
      <c r="M45" s="99"/>
      <c r="N45" s="99"/>
      <c r="O45" s="9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row>
    <row r="46" spans="1:56">
      <c r="A46" s="99"/>
      <c r="B46" s="99"/>
      <c r="C46" s="99"/>
      <c r="D46" s="99"/>
      <c r="E46" s="99"/>
      <c r="F46" s="99"/>
      <c r="G46" s="99"/>
      <c r="H46" s="99"/>
      <c r="I46" s="99"/>
      <c r="J46" s="99"/>
      <c r="K46" s="99"/>
      <c r="L46" s="99"/>
      <c r="M46" s="99"/>
      <c r="N46" s="99"/>
      <c r="O46" s="99"/>
      <c r="P46" s="99"/>
      <c r="AC46" s="9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row>
    <row r="47" spans="1:56" s="99" customFormat="1" ht="18.75" customHeight="1">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row>
    <row r="48" spans="1:56" ht="78.75" customHeight="1">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row>
    <row r="49" spans="1:56">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row>
    <row r="50" spans="1:56">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row>
    <row r="51" spans="1:56">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row>
    <row r="52" spans="1:56">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row>
    <row r="54" spans="1:56">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row>
    <row r="55" spans="1:56">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row>
    <row r="56" spans="1:56">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7" spans="1:56">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row>
    <row r="59" spans="1:56">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row>
    <row r="60" spans="1:56">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row>
    <row r="61" spans="1:56">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row>
    <row r="62" spans="1:56">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row>
    <row r="63" spans="1:56">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row>
    <row r="64" spans="1:56">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row>
    <row r="65" spans="1:56">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row>
    <row r="66" spans="1:56">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row>
    <row r="67" spans="1:56">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row>
    <row r="68" spans="1:56">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row>
    <row r="69" spans="1:56">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row>
    <row r="70" spans="1:56">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row>
    <row r="71" spans="1:56">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row>
    <row r="72" spans="1:56">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row>
    <row r="73" spans="1:56">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row>
    <row r="74" spans="1:56">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row>
    <row r="75" spans="1:56">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row>
    <row r="76" spans="1:56">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row>
    <row r="77" spans="1:56">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row>
    <row r="78" spans="1:56">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row>
    <row r="79" spans="1:56">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row>
    <row r="80" spans="1:56">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row>
    <row r="81" spans="1:56">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row>
    <row r="82" spans="1:56">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row>
    <row r="83" spans="1:56">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row>
    <row r="84" spans="1:56">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row>
    <row r="85" spans="1:56">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row>
    <row r="86" spans="1:56">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row>
    <row r="87" spans="1:56">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row>
    <row r="88" spans="1:56">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row>
    <row r="89" spans="1:56">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row>
    <row r="90" spans="1:56">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row>
    <row r="91" spans="1:56">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row>
    <row r="92" spans="1:56">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row>
    <row r="93" spans="1:56">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row>
    <row r="94" spans="1:56">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row>
    <row r="95" spans="1:56">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row>
    <row r="96" spans="1:56">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row>
    <row r="97" spans="1:56">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56">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row>
    <row r="99" spans="1:56">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row>
    <row r="100" spans="1:56">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row>
    <row r="101" spans="1:56">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56">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row>
    <row r="103" spans="1:56">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row>
    <row r="104" spans="1:56">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5" spans="1:56">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row>
    <row r="106" spans="1:56">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row>
    <row r="107" spans="1:56">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1:56">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1:56">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1:56">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row>
    <row r="111" spans="1:56">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row>
    <row r="112" spans="1:56">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row>
    <row r="113" spans="1:56">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56">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row>
    <row r="115" spans="1:56">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row>
    <row r="116" spans="1:56">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row>
    <row r="117" spans="1:56">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row>
    <row r="118" spans="1:56">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row>
    <row r="119" spans="1:56">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row>
    <row r="120" spans="1:56">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row>
    <row r="121" spans="1:56">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row>
    <row r="122" spans="1:56">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row>
    <row r="123" spans="1:56">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row>
    <row r="124" spans="1:56">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row>
    <row r="125" spans="1:56">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row>
    <row r="126" spans="1:56">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row>
    <row r="127" spans="1:56">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row>
    <row r="128" spans="1:56">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row>
    <row r="129" spans="1:56">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row>
    <row r="130" spans="1:56">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row>
    <row r="131" spans="1:56">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row>
    <row r="132" spans="1:56">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row>
    <row r="133" spans="1:56">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row>
    <row r="134" spans="1:56">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row>
    <row r="135" spans="1:56">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row>
    <row r="136" spans="1:56">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row>
    <row r="137" spans="1:56">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row>
    <row r="138" spans="1:56">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row>
    <row r="139" spans="1:56">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row>
    <row r="140" spans="1:56">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row>
    <row r="141" spans="1:56">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row>
    <row r="142" spans="1:56">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row>
    <row r="143" spans="1:56">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row>
    <row r="144" spans="1:56">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row>
    <row r="145" spans="1:56">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row>
    <row r="146" spans="1:56">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row>
    <row r="147" spans="1:56">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row>
    <row r="148" spans="1:56">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row>
    <row r="149" spans="1:56">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row>
    <row r="150" spans="1:56">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row>
    <row r="151" spans="1:56">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row>
    <row r="152" spans="1:56">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row>
    <row r="153" spans="1:56">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row>
    <row r="154" spans="1:56">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row>
    <row r="155" spans="1:56">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row>
    <row r="156" spans="1:56">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row>
    <row r="157" spans="1:56">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row>
    <row r="158" spans="1:56">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row>
    <row r="159" spans="1:56">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row>
    <row r="160" spans="1:56">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row>
    <row r="161" spans="1:56">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row>
    <row r="162" spans="1:56">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row>
    <row r="163" spans="1:56">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row>
    <row r="164" spans="1:56">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row>
    <row r="165" spans="1:56">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row>
    <row r="166" spans="1:56">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row>
    <row r="167" spans="1:56">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row>
    <row r="168" spans="1:56">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row>
    <row r="169" spans="1:56">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row>
    <row r="170" spans="1:56">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row>
    <row r="171" spans="1:56">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row>
    <row r="172" spans="1:56">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row>
    <row r="173" spans="1:56">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row>
    <row r="174" spans="1:56">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row>
    <row r="175" spans="1:56">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row>
    <row r="176" spans="1:56">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row>
    <row r="177" spans="1:56">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row>
    <row r="178" spans="1:56">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row>
    <row r="179" spans="1:56">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row>
    <row r="180" spans="1:56">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row>
    <row r="181" spans="1:56">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row>
    <row r="182" spans="1:56">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row>
    <row r="183" spans="1:56">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row>
    <row r="184" spans="1:56">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row>
    <row r="185" spans="1:56">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row>
    <row r="186" spans="1:56">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row>
    <row r="187" spans="1:56">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row>
    <row r="188" spans="1:56">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row>
    <row r="189" spans="1:56">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row>
    <row r="190" spans="1:56">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row>
    <row r="191" spans="1:56">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row>
    <row r="192" spans="1:56">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row>
    <row r="193" spans="1:56">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row>
    <row r="194" spans="1:56">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row>
    <row r="195" spans="1:56">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row>
    <row r="196" spans="1:56">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row>
    <row r="197" spans="1:56">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row>
    <row r="198" spans="1:56">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row>
    <row r="199" spans="1:56">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row>
    <row r="200" spans="1:56">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row>
    <row r="201" spans="1:56">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row>
    <row r="202" spans="1:56">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row>
    <row r="203" spans="1:56">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row>
    <row r="204" spans="1:56">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row>
    <row r="205" spans="1:56">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row>
    <row r="206" spans="1:56">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row>
    <row r="207" spans="1:56">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row>
    <row r="208" spans="1:56">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row>
    <row r="209" spans="1:56">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row>
    <row r="210" spans="1:56">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row>
    <row r="211" spans="1:56">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row>
    <row r="212" spans="1:56">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row>
    <row r="213" spans="1:56">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row>
  </sheetData>
  <sheetProtection selectLockedCells="1"/>
  <mergeCells count="48">
    <mergeCell ref="Q24:R24"/>
    <mergeCell ref="C2:AB2"/>
    <mergeCell ref="R4:X4"/>
    <mergeCell ref="T9:T10"/>
    <mergeCell ref="V9:V10"/>
    <mergeCell ref="X9:X10"/>
    <mergeCell ref="Z9:Z10"/>
    <mergeCell ref="D9:D10"/>
    <mergeCell ref="N9:N10"/>
    <mergeCell ref="F13:G13"/>
    <mergeCell ref="J11:K11"/>
    <mergeCell ref="F15:G15"/>
    <mergeCell ref="N24:O24"/>
    <mergeCell ref="C4:O5"/>
    <mergeCell ref="F9:F10"/>
    <mergeCell ref="H9:H10"/>
    <mergeCell ref="R25:T25"/>
    <mergeCell ref="V25:AA25"/>
    <mergeCell ref="Q27:T27"/>
    <mergeCell ref="U27:V27"/>
    <mergeCell ref="Y27:AA27"/>
    <mergeCell ref="C41:M41"/>
    <mergeCell ref="C42:M42"/>
    <mergeCell ref="F31:H31"/>
    <mergeCell ref="F32:H32"/>
    <mergeCell ref="F33:H33"/>
    <mergeCell ref="F34:H34"/>
    <mergeCell ref="D31:E31"/>
    <mergeCell ref="D32:E32"/>
    <mergeCell ref="D33:E33"/>
    <mergeCell ref="D34:E34"/>
    <mergeCell ref="I34:M34"/>
    <mergeCell ref="I31:M31"/>
    <mergeCell ref="I32:M32"/>
    <mergeCell ref="I33:M33"/>
    <mergeCell ref="C39:M39"/>
    <mergeCell ref="C40:M40"/>
    <mergeCell ref="J9:J10"/>
    <mergeCell ref="J24:K24"/>
    <mergeCell ref="N34:O34"/>
    <mergeCell ref="N31:O31"/>
    <mergeCell ref="N32:O32"/>
    <mergeCell ref="E29:O30"/>
    <mergeCell ref="F17:G17"/>
    <mergeCell ref="F19:G19"/>
    <mergeCell ref="F21:G21"/>
    <mergeCell ref="F23:G23"/>
    <mergeCell ref="N33:O33"/>
  </mergeCells>
  <phoneticPr fontId="1"/>
  <dataValidations count="3">
    <dataValidation type="whole" imeMode="off" operator="greaterThanOrEqual" allowBlank="1" showInputMessage="1" showErrorMessage="1" errorTitle="金額エラー" error="0　以上の数値を入力してください。" sqref="F12 H12 F20 H20 H14 F14 F16 H16 H22 F22 H18 F18" xr:uid="{00000000-0002-0000-0100-000000000000}">
      <formula1>0</formula1>
    </dataValidation>
    <dataValidation type="whole" imeMode="off" operator="greaterThanOrEqual" allowBlank="1" showInputMessage="1" showErrorMessage="1" errorTitle="金額エラー" error="0　以上の数値を入力してください。" sqref="J12 J14 J16 J18 J20 J22" xr:uid="{00000000-0002-0000-0100-000001000000}">
      <formula1>-999999999</formula1>
    </dataValidation>
    <dataValidation type="date" imeMode="off" allowBlank="1" showInputMessage="1" showErrorMessage="1" errorTitle="日付エラー" error="日付形式で入力してください。_x000a_S50/1/1 or 1975/1/1_x000a_1900/1/1 &lt; N &lt; 2030/3/31" promptTitle="生年月日の入力" prompt="例　S50/1/1 or 1975/1/1" sqref="D23 D19 D17 D15 D21 D13" xr:uid="{00000000-0002-0000-0100-000002000000}">
      <formula1>1</formula1>
      <formula2>47573</formula2>
    </dataValidation>
  </dataValidations>
  <pageMargins left="0.19685039370078741" right="0.15748031496062992" top="0.31496062992125984" bottom="0.35433070866141736" header="0.19685039370078741" footer="0.27559055118110237"/>
  <pageSetup paperSize="9" scale="89" orientation="landscape" r:id="rId1"/>
  <headerFooter>
    <oddHeader>&amp;R&amp;9&amp;F &amp;D</oddHeader>
  </headerFooter>
  <ignoredErrors>
    <ignoredError sqref="N13 N15 N17 N19 N2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0</xdr:colOff>
                    <xdr:row>11</xdr:row>
                    <xdr:rowOff>0</xdr:rowOff>
                  </from>
                  <to>
                    <xdr:col>4</xdr:col>
                    <xdr:colOff>228600</xdr:colOff>
                    <xdr:row>12</xdr:row>
                    <xdr:rowOff>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3</xdr:col>
                    <xdr:colOff>0</xdr:colOff>
                    <xdr:row>13</xdr:row>
                    <xdr:rowOff>0</xdr:rowOff>
                  </from>
                  <to>
                    <xdr:col>4</xdr:col>
                    <xdr:colOff>228600</xdr:colOff>
                    <xdr:row>14</xdr:row>
                    <xdr:rowOff>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0</xdr:colOff>
                    <xdr:row>15</xdr:row>
                    <xdr:rowOff>0</xdr:rowOff>
                  </from>
                  <to>
                    <xdr:col>4</xdr:col>
                    <xdr:colOff>228600</xdr:colOff>
                    <xdr:row>16</xdr:row>
                    <xdr:rowOff>0</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3</xdr:col>
                    <xdr:colOff>0</xdr:colOff>
                    <xdr:row>17</xdr:row>
                    <xdr:rowOff>0</xdr:rowOff>
                  </from>
                  <to>
                    <xdr:col>4</xdr:col>
                    <xdr:colOff>228600</xdr:colOff>
                    <xdr:row>18</xdr:row>
                    <xdr:rowOff>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3</xdr:col>
                    <xdr:colOff>0</xdr:colOff>
                    <xdr:row>19</xdr:row>
                    <xdr:rowOff>0</xdr:rowOff>
                  </from>
                  <to>
                    <xdr:col>4</xdr:col>
                    <xdr:colOff>228600</xdr:colOff>
                    <xdr:row>20</xdr:row>
                    <xdr:rowOff>0</xdr:rowOff>
                  </to>
                </anchor>
              </controlPr>
            </control>
          </mc:Choice>
        </mc:AlternateContent>
        <mc:AlternateContent xmlns:mc="http://schemas.openxmlformats.org/markup-compatibility/2006">
          <mc:Choice Requires="x14">
            <control shapeId="3078" r:id="rId9" name="Drop Down 6">
              <controlPr defaultSize="0" autoLine="0" autoPict="0">
                <anchor moveWithCells="1">
                  <from>
                    <xdr:col>3</xdr:col>
                    <xdr:colOff>0</xdr:colOff>
                    <xdr:row>21</xdr:row>
                    <xdr:rowOff>0</xdr:rowOff>
                  </from>
                  <to>
                    <xdr:col>4</xdr:col>
                    <xdr:colOff>228600</xdr:colOff>
                    <xdr:row>22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0EDBB71-0F98-4ED2-896B-8E9C2DCDAF9F}">
            <xm:f>表!$B$11&lt;&gt;表!$P$20</xm:f>
            <x14:dxf>
              <font>
                <strike val="0"/>
                <u/>
                <color auto="1"/>
              </font>
            </x14:dxf>
          </x14:cfRule>
          <xm:sqref>C12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127"/>
  <sheetViews>
    <sheetView zoomScaleNormal="100" zoomScaleSheetLayoutView="100" workbookViewId="0">
      <selection activeCell="B11" sqref="B11"/>
    </sheetView>
  </sheetViews>
  <sheetFormatPr defaultRowHeight="13" outlineLevelCol="1"/>
  <cols>
    <col min="1" max="1" width="12.453125" customWidth="1"/>
    <col min="2" max="2" width="9.6328125" customWidth="1"/>
    <col min="3" max="3" width="9.90625" customWidth="1"/>
    <col min="4" max="5" width="9.26953125" customWidth="1"/>
    <col min="6" max="10" width="9.36328125" customWidth="1"/>
    <col min="11" max="15" width="9.453125" customWidth="1"/>
    <col min="16" max="16" width="9.453125" style="165" customWidth="1"/>
    <col min="17" max="17" width="9.453125" customWidth="1"/>
    <col min="18" max="18" width="11" customWidth="1"/>
    <col min="19" max="19" width="9" bestFit="1" customWidth="1"/>
    <col min="20" max="20" width="8.26953125" customWidth="1"/>
    <col min="22" max="22" width="9.453125" hidden="1" customWidth="1" outlineLevel="1"/>
    <col min="23" max="26" width="9" hidden="1" customWidth="1" outlineLevel="1"/>
    <col min="27" max="27" width="9.7265625" hidden="1" customWidth="1" outlineLevel="1"/>
    <col min="28" max="41" width="9" hidden="1" customWidth="1" outlineLevel="1"/>
    <col min="42" max="42" width="9" collapsed="1"/>
  </cols>
  <sheetData>
    <row r="1" spans="1:41">
      <c r="A1" s="2" t="s">
        <v>6</v>
      </c>
      <c r="B1" s="2" t="s">
        <v>203</v>
      </c>
      <c r="C1" s="19" t="s">
        <v>77</v>
      </c>
      <c r="D1" s="1" t="s">
        <v>7</v>
      </c>
      <c r="E1" s="2" t="s">
        <v>8</v>
      </c>
      <c r="F1" s="2" t="s">
        <v>10</v>
      </c>
      <c r="G1" s="2" t="s">
        <v>13</v>
      </c>
      <c r="H1" s="2" t="s">
        <v>55</v>
      </c>
      <c r="I1" s="2" t="s">
        <v>56</v>
      </c>
      <c r="J1" s="18" t="s">
        <v>14</v>
      </c>
      <c r="K1" s="2" t="s">
        <v>21</v>
      </c>
      <c r="L1" s="2" t="s">
        <v>22</v>
      </c>
      <c r="M1" s="2" t="s">
        <v>23</v>
      </c>
      <c r="N1" s="238"/>
      <c r="O1" s="260" t="s">
        <v>173</v>
      </c>
      <c r="P1" s="8"/>
      <c r="Q1" s="8"/>
      <c r="R1" s="8"/>
      <c r="S1" s="8"/>
      <c r="T1" s="8"/>
      <c r="U1" s="12"/>
      <c r="V1" s="321"/>
      <c r="W1" s="321"/>
      <c r="X1" s="321"/>
      <c r="Y1" s="321"/>
      <c r="Z1" s="321"/>
      <c r="AA1" s="321"/>
      <c r="AB1" s="321"/>
      <c r="AC1" s="321"/>
      <c r="AD1" s="321"/>
      <c r="AE1" s="321"/>
      <c r="AF1" s="321"/>
      <c r="AG1" s="321"/>
      <c r="AH1" s="321"/>
      <c r="AI1" s="321"/>
      <c r="AJ1" s="321"/>
      <c r="AK1" s="321"/>
      <c r="AL1" s="321"/>
      <c r="AM1" s="321"/>
      <c r="AN1" s="321"/>
      <c r="AO1" s="321"/>
    </row>
    <row r="2" spans="1:41">
      <c r="A2" s="302" t="s">
        <v>215</v>
      </c>
      <c r="B2" s="44">
        <v>1</v>
      </c>
      <c r="C2" s="12"/>
      <c r="D2" s="274">
        <v>6</v>
      </c>
      <c r="E2" s="2" t="s">
        <v>9</v>
      </c>
      <c r="F2" s="275">
        <v>27820</v>
      </c>
      <c r="G2" s="275">
        <v>27314</v>
      </c>
      <c r="H2" s="276">
        <v>7.6600000000000001E-2</v>
      </c>
      <c r="I2" s="275">
        <v>650000</v>
      </c>
      <c r="J2" s="277" t="s">
        <v>200</v>
      </c>
      <c r="K2" s="275">
        <v>430000</v>
      </c>
      <c r="L2" s="275">
        <v>295000</v>
      </c>
      <c r="M2" s="275">
        <v>545000</v>
      </c>
      <c r="N2" s="216"/>
      <c r="O2" s="257">
        <f>計算!AE16</f>
        <v>0</v>
      </c>
      <c r="P2" s="254"/>
      <c r="Q2" s="255"/>
      <c r="R2" s="256"/>
      <c r="S2" s="254"/>
      <c r="T2" s="254"/>
      <c r="U2" s="12"/>
      <c r="V2" s="321"/>
      <c r="W2" s="321"/>
      <c r="X2" s="321"/>
      <c r="Y2" s="321"/>
      <c r="Z2" s="321"/>
      <c r="AA2" s="322" t="str">
        <f>"平成"&amp;D2&amp;"年度"</f>
        <v>平成6年度</v>
      </c>
      <c r="AB2" s="323" t="s">
        <v>177</v>
      </c>
      <c r="AC2" s="323" t="s">
        <v>178</v>
      </c>
      <c r="AD2" s="323" t="s">
        <v>179</v>
      </c>
      <c r="AE2" s="323" t="s">
        <v>180</v>
      </c>
      <c r="AF2" s="323" t="s">
        <v>181</v>
      </c>
      <c r="AG2" s="323" t="s">
        <v>182</v>
      </c>
      <c r="AH2" s="323" t="s">
        <v>183</v>
      </c>
      <c r="AI2" s="323" t="s">
        <v>184</v>
      </c>
      <c r="AJ2" s="323" t="s">
        <v>185</v>
      </c>
      <c r="AK2" s="323" t="s">
        <v>186</v>
      </c>
      <c r="AL2" s="323" t="s">
        <v>187</v>
      </c>
      <c r="AM2" s="324" t="s">
        <v>188</v>
      </c>
      <c r="AN2" s="325" t="s">
        <v>189</v>
      </c>
      <c r="AO2" s="325" t="s">
        <v>190</v>
      </c>
    </row>
    <row r="3" spans="1:41">
      <c r="A3" s="303" t="s">
        <v>136</v>
      </c>
      <c r="B3" s="45">
        <v>2</v>
      </c>
      <c r="C3" s="12"/>
      <c r="D3" s="12"/>
      <c r="E3" s="2" t="s">
        <v>12</v>
      </c>
      <c r="F3" s="275">
        <v>10741</v>
      </c>
      <c r="G3" s="275">
        <v>10545</v>
      </c>
      <c r="H3" s="388">
        <v>2.9899999999999999E-2</v>
      </c>
      <c r="I3" s="275">
        <v>240000</v>
      </c>
      <c r="J3" s="12"/>
      <c r="K3" s="12"/>
      <c r="L3" s="12"/>
      <c r="M3" s="12"/>
      <c r="N3" s="12"/>
      <c r="O3" s="258">
        <f>EOMONTH(O2,0)+1</f>
        <v>32</v>
      </c>
      <c r="P3" s="254"/>
      <c r="Q3" s="255"/>
      <c r="R3" s="255"/>
      <c r="S3" s="254"/>
      <c r="T3" s="254"/>
      <c r="U3" s="12"/>
      <c r="V3" s="321"/>
      <c r="W3" s="321"/>
      <c r="X3" s="321"/>
      <c r="Y3" s="321"/>
      <c r="Z3" s="321"/>
      <c r="AA3" s="322" t="s">
        <v>191</v>
      </c>
      <c r="AB3" s="326"/>
      <c r="AC3" s="326"/>
      <c r="AD3" s="326"/>
      <c r="AE3" s="326"/>
      <c r="AF3" s="326"/>
      <c r="AG3" s="326"/>
      <c r="AH3" s="326"/>
      <c r="AI3" s="326"/>
      <c r="AJ3" s="326"/>
      <c r="AK3" s="326"/>
      <c r="AL3" s="327"/>
      <c r="AM3" s="328">
        <f>SUM(AB3:AL3)</f>
        <v>0</v>
      </c>
      <c r="AN3" s="329"/>
      <c r="AO3" s="325">
        <v>1</v>
      </c>
    </row>
    <row r="4" spans="1:41">
      <c r="A4" s="303" t="s">
        <v>137</v>
      </c>
      <c r="B4" s="45">
        <v>3</v>
      </c>
      <c r="C4" s="12"/>
      <c r="D4" s="12"/>
      <c r="E4" s="2" t="s">
        <v>11</v>
      </c>
      <c r="F4" s="275">
        <v>8056</v>
      </c>
      <c r="G4" s="275">
        <v>6045</v>
      </c>
      <c r="H4" s="276">
        <v>1.9E-2</v>
      </c>
      <c r="I4" s="275">
        <v>170000</v>
      </c>
      <c r="J4" s="12"/>
      <c r="K4" s="12"/>
      <c r="L4" s="12"/>
      <c r="M4" s="12"/>
      <c r="N4" s="12"/>
      <c r="O4" s="18" t="s">
        <v>171</v>
      </c>
      <c r="P4" s="254"/>
      <c r="Q4" s="255"/>
      <c r="R4" s="255"/>
      <c r="S4" s="254"/>
      <c r="T4" s="254"/>
      <c r="U4" s="12"/>
      <c r="V4" s="321"/>
      <c r="W4" s="321"/>
      <c r="X4" s="321"/>
      <c r="Y4" s="321"/>
      <c r="Z4" s="321"/>
      <c r="AA4" s="322" t="s">
        <v>192</v>
      </c>
      <c r="AB4" s="326"/>
      <c r="AC4" s="326"/>
      <c r="AD4" s="326"/>
      <c r="AE4" s="326"/>
      <c r="AF4" s="326"/>
      <c r="AG4" s="326"/>
      <c r="AH4" s="326"/>
      <c r="AI4" s="326"/>
      <c r="AJ4" s="326"/>
      <c r="AK4" s="326"/>
      <c r="AL4" s="326"/>
      <c r="AM4" s="328">
        <f>SUM(AB4:AL4)</f>
        <v>0</v>
      </c>
      <c r="AN4" s="329"/>
      <c r="AO4" s="325">
        <v>3</v>
      </c>
    </row>
    <row r="5" spans="1:41">
      <c r="A5" s="303" t="s">
        <v>138</v>
      </c>
      <c r="B5" s="45">
        <v>4</v>
      </c>
      <c r="C5" s="12"/>
      <c r="D5" s="12"/>
      <c r="E5" s="12"/>
      <c r="F5" s="23"/>
      <c r="G5" s="24"/>
      <c r="H5" s="24"/>
      <c r="I5" s="12"/>
      <c r="J5" s="12"/>
      <c r="K5" s="12"/>
      <c r="L5" s="12"/>
      <c r="M5" s="12"/>
      <c r="N5" s="12"/>
      <c r="O5" s="259">
        <f>DATE(D2+2018,1,2)</f>
        <v>45293</v>
      </c>
      <c r="P5" s="254"/>
      <c r="Q5" s="254"/>
      <c r="R5" s="255"/>
      <c r="S5" s="254"/>
      <c r="T5" s="254"/>
      <c r="U5" s="12"/>
      <c r="V5" s="321"/>
      <c r="W5" s="321"/>
      <c r="X5" s="321"/>
      <c r="Y5" s="321"/>
      <c r="Z5" s="321"/>
      <c r="AA5" s="321"/>
      <c r="AB5" s="321"/>
      <c r="AC5" s="321"/>
      <c r="AD5" s="321"/>
      <c r="AE5" s="321"/>
      <c r="AF5" s="321"/>
      <c r="AG5" s="321"/>
      <c r="AH5" s="321"/>
      <c r="AI5" s="321"/>
      <c r="AJ5" s="321"/>
      <c r="AK5" s="321"/>
      <c r="AL5" s="321"/>
      <c r="AM5" s="321"/>
      <c r="AN5" s="321"/>
      <c r="AO5" s="321"/>
    </row>
    <row r="6" spans="1:41">
      <c r="A6" s="304" t="s">
        <v>217</v>
      </c>
      <c r="B6" s="45">
        <v>5</v>
      </c>
      <c r="C6" s="12"/>
      <c r="D6" s="12"/>
      <c r="E6" s="12"/>
      <c r="F6" s="23"/>
      <c r="G6" s="25"/>
      <c r="H6" s="25"/>
      <c r="I6" s="12"/>
      <c r="J6" s="12"/>
      <c r="K6" s="12"/>
      <c r="L6" s="12"/>
      <c r="M6" s="12"/>
      <c r="N6" s="12"/>
      <c r="O6" s="12"/>
      <c r="P6" s="12"/>
      <c r="Q6" s="12"/>
      <c r="R6" s="12"/>
      <c r="S6" s="12"/>
      <c r="T6" s="12"/>
      <c r="U6" s="12"/>
      <c r="V6" s="321"/>
      <c r="W6" s="321"/>
      <c r="X6" s="321"/>
      <c r="Y6" s="321"/>
      <c r="Z6" s="321"/>
      <c r="AA6" s="321"/>
      <c r="AB6" s="321"/>
      <c r="AC6" s="321"/>
      <c r="AD6" s="321"/>
      <c r="AE6" s="321"/>
      <c r="AF6" s="321"/>
      <c r="AG6" s="321"/>
      <c r="AH6" s="321"/>
      <c r="AI6" s="321"/>
      <c r="AJ6" s="321"/>
      <c r="AK6" s="321"/>
      <c r="AL6" s="321"/>
      <c r="AM6" s="321"/>
      <c r="AN6" s="321"/>
      <c r="AO6" s="321"/>
    </row>
    <row r="7" spans="1:41">
      <c r="A7" s="305" t="s">
        <v>152</v>
      </c>
      <c r="B7" s="78">
        <v>6</v>
      </c>
      <c r="C7" s="12"/>
      <c r="D7" s="301"/>
      <c r="E7" s="12"/>
      <c r="F7" s="23"/>
      <c r="G7" s="25"/>
      <c r="H7" s="25"/>
      <c r="I7" s="12"/>
      <c r="J7" s="12"/>
      <c r="K7" s="12"/>
      <c r="L7" s="12"/>
      <c r="M7" s="12"/>
      <c r="N7" s="12"/>
      <c r="O7" s="12"/>
      <c r="P7" s="12"/>
      <c r="Q7" s="12"/>
      <c r="R7" s="12"/>
      <c r="S7" s="12"/>
      <c r="T7" s="12"/>
      <c r="U7" s="12"/>
      <c r="V7" s="321"/>
      <c r="W7" s="321"/>
      <c r="X7" s="321"/>
      <c r="Y7" s="321"/>
      <c r="Z7" s="321"/>
      <c r="AA7" s="321"/>
      <c r="AB7" s="321"/>
      <c r="AC7" s="321"/>
      <c r="AD7" s="321"/>
      <c r="AE7" s="321"/>
      <c r="AF7" s="321"/>
      <c r="AG7" s="321"/>
      <c r="AH7" s="321"/>
      <c r="AI7" s="321"/>
      <c r="AJ7" s="321"/>
      <c r="AK7" s="321"/>
      <c r="AL7" s="321"/>
      <c r="AM7" s="321"/>
      <c r="AN7" s="321"/>
      <c r="AO7" s="321"/>
    </row>
    <row r="8" spans="1:41">
      <c r="A8" s="12"/>
      <c r="B8" s="12"/>
      <c r="C8" s="12"/>
      <c r="D8" s="12"/>
      <c r="E8" s="12"/>
      <c r="F8" s="23"/>
      <c r="G8" s="25"/>
      <c r="H8" s="25"/>
      <c r="I8" s="12"/>
      <c r="J8" s="12"/>
      <c r="K8" s="12"/>
      <c r="L8" s="12"/>
      <c r="M8" s="12"/>
      <c r="N8" s="12"/>
      <c r="O8" s="12"/>
      <c r="P8" s="12"/>
      <c r="Q8" s="12"/>
      <c r="R8" s="12"/>
      <c r="S8" s="12"/>
      <c r="T8" s="12"/>
      <c r="U8" s="12"/>
      <c r="V8" s="321"/>
      <c r="W8" s="321"/>
      <c r="X8" s="321"/>
      <c r="Y8" s="321"/>
      <c r="Z8" s="321"/>
      <c r="AA8" s="321"/>
      <c r="AB8" s="321"/>
      <c r="AC8" s="321"/>
      <c r="AD8" s="321"/>
      <c r="AE8" s="321"/>
      <c r="AF8" s="321"/>
      <c r="AG8" s="321"/>
      <c r="AH8" s="321"/>
      <c r="AI8" s="321"/>
      <c r="AJ8" s="321"/>
      <c r="AK8" s="321"/>
      <c r="AL8" s="321"/>
      <c r="AM8" s="321"/>
      <c r="AN8" s="321"/>
      <c r="AO8" s="321"/>
    </row>
    <row r="9" spans="1:41" ht="13.5" thickBot="1">
      <c r="A9" s="12" t="s">
        <v>76</v>
      </c>
      <c r="B9" s="12"/>
      <c r="C9" s="12"/>
      <c r="D9" s="12"/>
      <c r="E9" s="12"/>
      <c r="F9" s="12"/>
      <c r="G9" s="12"/>
      <c r="H9" s="12"/>
      <c r="I9" s="12"/>
      <c r="J9" s="12"/>
      <c r="K9" s="12"/>
      <c r="L9" s="12"/>
      <c r="M9" s="12"/>
      <c r="N9" s="12"/>
      <c r="O9" s="12"/>
      <c r="P9" s="12"/>
      <c r="Q9" s="12"/>
      <c r="R9" s="12"/>
      <c r="S9" s="12"/>
      <c r="T9" s="12"/>
      <c r="U9" s="12"/>
      <c r="V9" s="321"/>
      <c r="W9" s="321"/>
      <c r="X9" s="321"/>
      <c r="Y9" s="321"/>
      <c r="Z9" s="321"/>
      <c r="AA9" s="321"/>
      <c r="AB9" s="321"/>
      <c r="AC9" s="321"/>
      <c r="AD9" s="321"/>
      <c r="AE9" s="321"/>
      <c r="AF9" s="321"/>
      <c r="AG9" s="321"/>
      <c r="AH9" s="321"/>
      <c r="AI9" s="321"/>
      <c r="AJ9" s="321"/>
      <c r="AK9" s="321"/>
      <c r="AL9" s="321"/>
      <c r="AM9" s="321"/>
      <c r="AN9" s="321"/>
      <c r="AO9" s="321"/>
    </row>
    <row r="10" spans="1:41" ht="19">
      <c r="A10" s="3"/>
      <c r="B10" s="7" t="s">
        <v>122</v>
      </c>
      <c r="C10" s="268" t="s">
        <v>123</v>
      </c>
      <c r="D10" s="18" t="s">
        <v>15</v>
      </c>
      <c r="E10" s="18" t="s">
        <v>16</v>
      </c>
      <c r="F10" s="18" t="s">
        <v>17</v>
      </c>
      <c r="G10" s="18" t="s">
        <v>135</v>
      </c>
      <c r="H10" s="18" t="s">
        <v>18</v>
      </c>
      <c r="I10" s="18" t="s">
        <v>20</v>
      </c>
      <c r="J10" s="269" t="s">
        <v>19</v>
      </c>
      <c r="K10" s="270" t="s">
        <v>116</v>
      </c>
      <c r="L10" s="172" t="s">
        <v>57</v>
      </c>
      <c r="M10" s="18" t="s">
        <v>58</v>
      </c>
      <c r="N10" s="18" t="s">
        <v>74</v>
      </c>
      <c r="O10" s="18" t="s">
        <v>62</v>
      </c>
      <c r="P10" s="18" t="s">
        <v>72</v>
      </c>
      <c r="Q10" s="168" t="s">
        <v>196</v>
      </c>
      <c r="R10" s="269" t="s">
        <v>73</v>
      </c>
      <c r="S10" s="271" t="s">
        <v>125</v>
      </c>
      <c r="T10" s="242" t="s">
        <v>176</v>
      </c>
      <c r="U10" s="12"/>
      <c r="V10" s="321"/>
      <c r="W10" s="321"/>
      <c r="X10" s="321"/>
      <c r="Y10" s="321"/>
      <c r="Z10" s="321"/>
      <c r="AA10" s="321"/>
      <c r="AB10" s="321"/>
      <c r="AC10" s="321"/>
      <c r="AD10" s="321"/>
      <c r="AE10" s="321"/>
      <c r="AF10" s="321"/>
      <c r="AG10" s="321"/>
      <c r="AH10" s="321"/>
      <c r="AI10" s="321"/>
      <c r="AJ10" s="321"/>
      <c r="AK10" s="321"/>
      <c r="AL10" s="321"/>
      <c r="AM10" s="321"/>
      <c r="AN10" s="321"/>
      <c r="AO10" s="321"/>
    </row>
    <row r="11" spans="1:41">
      <c r="A11" s="265" t="s">
        <v>32</v>
      </c>
      <c r="B11" s="278">
        <v>1</v>
      </c>
      <c r="C11" s="309" t="b">
        <v>0</v>
      </c>
      <c r="D11" s="47">
        <f t="shared" ref="D11:D16" si="0">IF(OR(B11=1,B11=5,B11=6),0,1)</f>
        <v>0</v>
      </c>
      <c r="E11" s="47">
        <f t="shared" ref="E11:E16" si="1">IF(B11=3,1,0)</f>
        <v>0</v>
      </c>
      <c r="F11" s="48">
        <f>IF(OR(B11=1,B11=5,B11=6,M11+O11+P11&lt;0),0,M11+O11+P11)</f>
        <v>0</v>
      </c>
      <c r="G11" s="48">
        <f>VLOOKUP(F11,$K$20:$L$23,2,TRUE)</f>
        <v>430000</v>
      </c>
      <c r="H11" s="48">
        <f>IF(F11&lt;=$G$11,0,F11-$G$11)</f>
        <v>0</v>
      </c>
      <c r="I11" s="48">
        <f t="shared" ref="I11:I16" si="2">IF(D11=1,H11,0)</f>
        <v>0</v>
      </c>
      <c r="J11" s="49">
        <f t="shared" ref="J11:J16" si="3">IF(E11=1,H11,0)</f>
        <v>0</v>
      </c>
      <c r="K11" s="338"/>
      <c r="L11" s="50">
        <f>計算!F12</f>
        <v>0</v>
      </c>
      <c r="M11" s="51">
        <f>C53</f>
        <v>0</v>
      </c>
      <c r="N11" s="51">
        <f>計算!H12</f>
        <v>0</v>
      </c>
      <c r="O11" s="51">
        <f>C71</f>
        <v>0</v>
      </c>
      <c r="P11" s="51">
        <f>計算!J12</f>
        <v>0</v>
      </c>
      <c r="Q11" s="51">
        <f>IF((J53+P11)&lt;0,0,J53+P11)</f>
        <v>0</v>
      </c>
      <c r="R11" s="345">
        <f>IF(D53+B76+P11+S11&lt;0,0,D53+B76+P11+S11)</f>
        <v>0</v>
      </c>
      <c r="S11" s="290">
        <v>0</v>
      </c>
      <c r="T11" s="335" t="b">
        <v>0</v>
      </c>
      <c r="U11" s="12"/>
      <c r="V11" s="321"/>
      <c r="W11" s="321"/>
      <c r="X11" s="321"/>
      <c r="Y11" s="321"/>
      <c r="Z11" s="321"/>
      <c r="AA11" s="321"/>
      <c r="AB11" s="321"/>
      <c r="AC11" s="321"/>
      <c r="AD11" s="321"/>
      <c r="AE11" s="321"/>
      <c r="AF11" s="321"/>
      <c r="AG11" s="321"/>
      <c r="AH11" s="321"/>
      <c r="AI11" s="321"/>
      <c r="AJ11" s="321"/>
      <c r="AK11" s="321"/>
      <c r="AL11" s="321"/>
      <c r="AM11" s="321"/>
      <c r="AN11" s="321"/>
      <c r="AO11" s="321"/>
    </row>
    <row r="12" spans="1:41">
      <c r="A12" s="266" t="s">
        <v>33</v>
      </c>
      <c r="B12" s="279">
        <v>1</v>
      </c>
      <c r="C12" s="310" t="b">
        <v>0</v>
      </c>
      <c r="D12" s="52">
        <f t="shared" si="0"/>
        <v>0</v>
      </c>
      <c r="E12" s="52">
        <f t="shared" si="1"/>
        <v>0</v>
      </c>
      <c r="F12" s="53">
        <f t="shared" ref="F12:F16" si="4">IF(OR(B12=1,B12=5,B12=6,M12+O12+P12&lt;0),0,M12+O12+P12)</f>
        <v>0</v>
      </c>
      <c r="G12" s="53">
        <f t="shared" ref="G12:G16" si="5">VLOOKUP(F12,$K$20:$L$23,2,TRUE)</f>
        <v>430000</v>
      </c>
      <c r="H12" s="53">
        <f>IF(F12&lt;=$G$12,0,F12-$G$12)</f>
        <v>0</v>
      </c>
      <c r="I12" s="53">
        <f t="shared" si="2"/>
        <v>0</v>
      </c>
      <c r="J12" s="54">
        <f t="shared" si="3"/>
        <v>0</v>
      </c>
      <c r="K12" s="339"/>
      <c r="L12" s="55">
        <f>計算!F14</f>
        <v>0</v>
      </c>
      <c r="M12" s="56">
        <f t="shared" ref="M12:M16" si="6">C54</f>
        <v>0</v>
      </c>
      <c r="N12" s="56">
        <f>計算!H14</f>
        <v>0</v>
      </c>
      <c r="O12" s="56">
        <f>C80</f>
        <v>0</v>
      </c>
      <c r="P12" s="56">
        <f>計算!J14</f>
        <v>0</v>
      </c>
      <c r="Q12" s="56">
        <f t="shared" ref="Q12:Q16" si="7">IF((J54+P12)&lt;0,0,J54+P12)</f>
        <v>0</v>
      </c>
      <c r="R12" s="346">
        <f>IF(D54+B85+P12+S12&lt;0,0,D54+B85+P12+S12)</f>
        <v>0</v>
      </c>
      <c r="S12" s="291">
        <v>0</v>
      </c>
      <c r="T12" s="336" t="b">
        <v>0</v>
      </c>
      <c r="U12" s="12"/>
      <c r="V12" s="321"/>
      <c r="W12" s="321"/>
      <c r="X12" s="321"/>
      <c r="Y12" s="321"/>
      <c r="Z12" s="321"/>
      <c r="AA12" s="321"/>
      <c r="AB12" s="321"/>
      <c r="AC12" s="321"/>
      <c r="AD12" s="321"/>
      <c r="AE12" s="321"/>
      <c r="AF12" s="321"/>
      <c r="AG12" s="321"/>
      <c r="AH12" s="321"/>
      <c r="AI12" s="321"/>
      <c r="AJ12" s="321"/>
      <c r="AK12" s="321"/>
      <c r="AL12" s="321"/>
      <c r="AM12" s="321"/>
      <c r="AN12" s="321"/>
      <c r="AO12" s="321"/>
    </row>
    <row r="13" spans="1:41">
      <c r="A13" s="266" t="s">
        <v>34</v>
      </c>
      <c r="B13" s="279">
        <v>1</v>
      </c>
      <c r="C13" s="310" t="b">
        <v>0</v>
      </c>
      <c r="D13" s="52">
        <f t="shared" si="0"/>
        <v>0</v>
      </c>
      <c r="E13" s="52">
        <f t="shared" si="1"/>
        <v>0</v>
      </c>
      <c r="F13" s="53">
        <f t="shared" si="4"/>
        <v>0</v>
      </c>
      <c r="G13" s="53">
        <f t="shared" si="5"/>
        <v>430000</v>
      </c>
      <c r="H13" s="53">
        <f>IF(F13&lt;=$G$13,0,F13-$G$13)</f>
        <v>0</v>
      </c>
      <c r="I13" s="53">
        <f t="shared" si="2"/>
        <v>0</v>
      </c>
      <c r="J13" s="54">
        <f t="shared" si="3"/>
        <v>0</v>
      </c>
      <c r="K13" s="339"/>
      <c r="L13" s="55">
        <f>計算!F16</f>
        <v>0</v>
      </c>
      <c r="M13" s="56">
        <f t="shared" si="6"/>
        <v>0</v>
      </c>
      <c r="N13" s="56">
        <f>計算!H16</f>
        <v>0</v>
      </c>
      <c r="O13" s="56">
        <f>C89</f>
        <v>0</v>
      </c>
      <c r="P13" s="56">
        <f>計算!J16</f>
        <v>0</v>
      </c>
      <c r="Q13" s="56">
        <f t="shared" si="7"/>
        <v>0</v>
      </c>
      <c r="R13" s="346">
        <f>IF(D55+B94+P13+S13&lt;0,0,D55+B94+P13+S13)</f>
        <v>0</v>
      </c>
      <c r="S13" s="291">
        <v>0</v>
      </c>
      <c r="T13" s="336" t="b">
        <v>0</v>
      </c>
      <c r="U13" s="12"/>
      <c r="V13" s="321"/>
      <c r="W13" s="321"/>
      <c r="X13" s="321"/>
      <c r="Y13" s="321"/>
      <c r="Z13" s="321"/>
      <c r="AA13" s="321"/>
      <c r="AB13" s="321"/>
      <c r="AC13" s="321"/>
      <c r="AD13" s="321"/>
      <c r="AE13" s="321"/>
      <c r="AF13" s="321"/>
      <c r="AG13" s="321"/>
      <c r="AH13" s="321"/>
      <c r="AI13" s="321"/>
      <c r="AJ13" s="321"/>
      <c r="AK13" s="321"/>
      <c r="AL13" s="321"/>
      <c r="AM13" s="321"/>
      <c r="AN13" s="321"/>
      <c r="AO13" s="321"/>
    </row>
    <row r="14" spans="1:41">
      <c r="A14" s="266" t="s">
        <v>35</v>
      </c>
      <c r="B14" s="279">
        <v>1</v>
      </c>
      <c r="C14" s="310" t="b">
        <v>0</v>
      </c>
      <c r="D14" s="52">
        <f t="shared" si="0"/>
        <v>0</v>
      </c>
      <c r="E14" s="52">
        <f t="shared" si="1"/>
        <v>0</v>
      </c>
      <c r="F14" s="53">
        <f t="shared" si="4"/>
        <v>0</v>
      </c>
      <c r="G14" s="53">
        <f t="shared" si="5"/>
        <v>430000</v>
      </c>
      <c r="H14" s="53">
        <f>IF(F14&lt;=$G$14,0,F14-$G$14)</f>
        <v>0</v>
      </c>
      <c r="I14" s="53">
        <f t="shared" si="2"/>
        <v>0</v>
      </c>
      <c r="J14" s="54">
        <f t="shared" si="3"/>
        <v>0</v>
      </c>
      <c r="K14" s="339"/>
      <c r="L14" s="55">
        <f>計算!F18</f>
        <v>0</v>
      </c>
      <c r="M14" s="56">
        <f t="shared" si="6"/>
        <v>0</v>
      </c>
      <c r="N14" s="56">
        <f>計算!H18</f>
        <v>0</v>
      </c>
      <c r="O14" s="56">
        <f>C98</f>
        <v>0</v>
      </c>
      <c r="P14" s="56">
        <f>計算!J18</f>
        <v>0</v>
      </c>
      <c r="Q14" s="56">
        <f t="shared" si="7"/>
        <v>0</v>
      </c>
      <c r="R14" s="346">
        <f>IF(D56+B103+P14+S14&lt;0,0,D56+B103+P14+S14)</f>
        <v>0</v>
      </c>
      <c r="S14" s="291">
        <v>0</v>
      </c>
      <c r="T14" s="336" t="b">
        <v>0</v>
      </c>
      <c r="U14" s="12"/>
      <c r="V14" s="321"/>
      <c r="W14" s="321"/>
      <c r="X14" s="321"/>
      <c r="Y14" s="321"/>
      <c r="Z14" s="321"/>
      <c r="AA14" s="321"/>
      <c r="AB14" s="321"/>
      <c r="AC14" s="321"/>
      <c r="AD14" s="321"/>
      <c r="AE14" s="321"/>
      <c r="AF14" s="321"/>
      <c r="AG14" s="321"/>
      <c r="AH14" s="321"/>
      <c r="AI14" s="321"/>
      <c r="AJ14" s="321"/>
      <c r="AK14" s="321"/>
      <c r="AL14" s="321"/>
      <c r="AM14" s="321"/>
      <c r="AN14" s="321"/>
      <c r="AO14" s="321"/>
    </row>
    <row r="15" spans="1:41">
      <c r="A15" s="266" t="s">
        <v>36</v>
      </c>
      <c r="B15" s="279">
        <v>1</v>
      </c>
      <c r="C15" s="310" t="b">
        <v>0</v>
      </c>
      <c r="D15" s="52">
        <f t="shared" si="0"/>
        <v>0</v>
      </c>
      <c r="E15" s="52">
        <f t="shared" si="1"/>
        <v>0</v>
      </c>
      <c r="F15" s="53">
        <f t="shared" si="4"/>
        <v>0</v>
      </c>
      <c r="G15" s="53">
        <f t="shared" si="5"/>
        <v>430000</v>
      </c>
      <c r="H15" s="53">
        <f>IF(F15&lt;=$G$15,0,F15-$G$15)</f>
        <v>0</v>
      </c>
      <c r="I15" s="53">
        <f t="shared" si="2"/>
        <v>0</v>
      </c>
      <c r="J15" s="54">
        <f t="shared" si="3"/>
        <v>0</v>
      </c>
      <c r="K15" s="339"/>
      <c r="L15" s="55">
        <f>計算!F20</f>
        <v>0</v>
      </c>
      <c r="M15" s="56">
        <f t="shared" si="6"/>
        <v>0</v>
      </c>
      <c r="N15" s="56">
        <f>計算!H20</f>
        <v>0</v>
      </c>
      <c r="O15" s="56">
        <f>C107</f>
        <v>0</v>
      </c>
      <c r="P15" s="56">
        <f>計算!J20</f>
        <v>0</v>
      </c>
      <c r="Q15" s="56">
        <f t="shared" si="7"/>
        <v>0</v>
      </c>
      <c r="R15" s="346">
        <f>IF(D57+B112+P15+S15&lt;0,0,D57+B112+P15+S15)</f>
        <v>0</v>
      </c>
      <c r="S15" s="291">
        <v>0</v>
      </c>
      <c r="T15" s="336" t="b">
        <v>0</v>
      </c>
      <c r="U15" s="12"/>
      <c r="V15" s="321"/>
      <c r="W15" s="321"/>
      <c r="X15" s="321"/>
      <c r="Y15" s="321"/>
      <c r="Z15" s="321"/>
      <c r="AA15" s="321"/>
      <c r="AB15" s="321"/>
      <c r="AC15" s="321"/>
      <c r="AD15" s="321"/>
      <c r="AE15" s="321"/>
      <c r="AF15" s="321"/>
      <c r="AG15" s="321"/>
      <c r="AH15" s="321"/>
      <c r="AI15" s="321"/>
      <c r="AJ15" s="321"/>
      <c r="AK15" s="321"/>
      <c r="AL15" s="321"/>
      <c r="AM15" s="321"/>
      <c r="AN15" s="321"/>
      <c r="AO15" s="321"/>
    </row>
    <row r="16" spans="1:41">
      <c r="A16" s="267" t="s">
        <v>37</v>
      </c>
      <c r="B16" s="280">
        <v>1</v>
      </c>
      <c r="C16" s="311" t="b">
        <v>0</v>
      </c>
      <c r="D16" s="57">
        <f t="shared" si="0"/>
        <v>0</v>
      </c>
      <c r="E16" s="57">
        <f t="shared" si="1"/>
        <v>0</v>
      </c>
      <c r="F16" s="58">
        <f t="shared" si="4"/>
        <v>0</v>
      </c>
      <c r="G16" s="58">
        <f t="shared" si="5"/>
        <v>430000</v>
      </c>
      <c r="H16" s="58">
        <f>IF(F16&lt;=$G$16,0,F16-$G$16)</f>
        <v>0</v>
      </c>
      <c r="I16" s="58">
        <f t="shared" si="2"/>
        <v>0</v>
      </c>
      <c r="J16" s="59">
        <f t="shared" si="3"/>
        <v>0</v>
      </c>
      <c r="K16" s="340"/>
      <c r="L16" s="60">
        <f>計算!F22</f>
        <v>0</v>
      </c>
      <c r="M16" s="61">
        <f t="shared" si="6"/>
        <v>0</v>
      </c>
      <c r="N16" s="61">
        <f>計算!H22</f>
        <v>0</v>
      </c>
      <c r="O16" s="61">
        <f>C116</f>
        <v>0</v>
      </c>
      <c r="P16" s="61">
        <f>計算!J22</f>
        <v>0</v>
      </c>
      <c r="Q16" s="61">
        <f t="shared" si="7"/>
        <v>0</v>
      </c>
      <c r="R16" s="347">
        <f>IF(D58+B121+P16+S16&lt;0,0,D58+B121+P16+S16)</f>
        <v>0</v>
      </c>
      <c r="S16" s="292">
        <v>0</v>
      </c>
      <c r="T16" s="337" t="b">
        <v>0</v>
      </c>
      <c r="U16" s="12"/>
      <c r="V16" s="321"/>
      <c r="W16" s="321"/>
      <c r="X16" s="321"/>
      <c r="Y16" s="321"/>
      <c r="Z16" s="321"/>
      <c r="AA16" s="321"/>
      <c r="AB16" s="321"/>
      <c r="AC16" s="321"/>
      <c r="AD16" s="321"/>
      <c r="AE16" s="321"/>
      <c r="AF16" s="321"/>
      <c r="AG16" s="321"/>
      <c r="AH16" s="321"/>
      <c r="AI16" s="321"/>
      <c r="AJ16" s="321"/>
      <c r="AK16" s="321"/>
      <c r="AL16" s="321"/>
      <c r="AM16" s="321"/>
      <c r="AN16" s="321"/>
      <c r="AO16" s="321"/>
    </row>
    <row r="17" spans="1:41" ht="13.5" thickBot="1">
      <c r="A17" s="264" t="s">
        <v>38</v>
      </c>
      <c r="B17" s="5"/>
      <c r="C17" s="5"/>
      <c r="D17" s="189">
        <f>SUM(D11:D16)+F27</f>
        <v>0</v>
      </c>
      <c r="E17" s="5">
        <f>SUM(E11:E16)+G27</f>
        <v>0</v>
      </c>
      <c r="F17" s="9">
        <f>SUM(F11:F16)</f>
        <v>0</v>
      </c>
      <c r="G17" s="9"/>
      <c r="H17" s="9">
        <f t="shared" ref="H17:J17" si="8">SUM(H11:H16)</f>
        <v>0</v>
      </c>
      <c r="I17" s="9">
        <f t="shared" si="8"/>
        <v>0</v>
      </c>
      <c r="J17" s="14">
        <f t="shared" si="8"/>
        <v>0</v>
      </c>
      <c r="K17" s="16"/>
      <c r="L17" s="15"/>
      <c r="M17" s="5"/>
      <c r="N17" s="5"/>
      <c r="O17" s="5"/>
      <c r="P17" s="5"/>
      <c r="Q17" s="167"/>
      <c r="R17" s="348">
        <f>SUM(R11:R16)</f>
        <v>0</v>
      </c>
      <c r="S17" s="272"/>
      <c r="T17" s="273">
        <f>H11*T11+H12*T12+H13*T13+H14*T14+H15*T15+H16*T16</f>
        <v>0</v>
      </c>
      <c r="U17" s="12"/>
      <c r="V17" s="321"/>
      <c r="W17" s="321"/>
      <c r="X17" s="321"/>
      <c r="Y17" s="321"/>
      <c r="Z17" s="321"/>
      <c r="AA17" s="321"/>
      <c r="AB17" s="321"/>
      <c r="AC17" s="321"/>
      <c r="AD17" s="321"/>
      <c r="AE17" s="321"/>
      <c r="AF17" s="321"/>
      <c r="AG17" s="321"/>
      <c r="AH17" s="321"/>
      <c r="AI17" s="321"/>
      <c r="AJ17" s="321"/>
      <c r="AK17" s="321"/>
      <c r="AL17" s="321"/>
      <c r="AM17" s="321"/>
      <c r="AN17" s="321"/>
      <c r="AO17" s="321"/>
    </row>
    <row r="18" spans="1:41">
      <c r="A18" s="12"/>
      <c r="B18" s="12"/>
      <c r="C18" s="12"/>
      <c r="D18" s="12"/>
      <c r="E18" s="12"/>
      <c r="F18" s="12"/>
      <c r="G18" s="12"/>
      <c r="H18" s="12"/>
      <c r="I18" s="12"/>
      <c r="J18" s="12"/>
      <c r="K18" s="12"/>
      <c r="L18" s="12"/>
      <c r="M18" s="12"/>
      <c r="N18" s="12"/>
      <c r="O18" s="12"/>
      <c r="P18" s="12"/>
      <c r="Q18" s="12"/>
      <c r="R18" s="12"/>
      <c r="S18" s="12"/>
      <c r="T18" s="12"/>
      <c r="U18" s="12"/>
      <c r="V18" s="321"/>
      <c r="W18" s="321"/>
      <c r="X18" s="321"/>
      <c r="Y18" s="321"/>
      <c r="Z18" s="321"/>
      <c r="AA18" s="321"/>
      <c r="AB18" s="321"/>
      <c r="AC18" s="321"/>
      <c r="AD18" s="321"/>
      <c r="AE18" s="321"/>
      <c r="AF18" s="321"/>
      <c r="AG18" s="321"/>
      <c r="AH18" s="321"/>
      <c r="AI18" s="321"/>
      <c r="AJ18" s="321"/>
      <c r="AK18" s="321"/>
      <c r="AL18" s="321"/>
      <c r="AM18" s="321"/>
      <c r="AN18" s="321"/>
      <c r="AO18" s="321"/>
    </row>
    <row r="19" spans="1:41" ht="19">
      <c r="A19" s="12" t="s">
        <v>153</v>
      </c>
      <c r="B19" s="12"/>
      <c r="C19" s="12"/>
      <c r="D19" s="12"/>
      <c r="E19" s="12" t="s">
        <v>75</v>
      </c>
      <c r="F19" s="12"/>
      <c r="G19" s="12"/>
      <c r="H19" s="12"/>
      <c r="I19" s="12"/>
      <c r="J19" s="12"/>
      <c r="K19" s="12" t="s">
        <v>135</v>
      </c>
      <c r="L19" s="12"/>
      <c r="M19" s="12"/>
      <c r="N19" s="2" t="s">
        <v>163</v>
      </c>
      <c r="O19" s="261" t="s">
        <v>174</v>
      </c>
      <c r="P19" s="261" t="s">
        <v>172</v>
      </c>
      <c r="Q19" s="263" t="s">
        <v>199</v>
      </c>
      <c r="R19" s="261" t="s">
        <v>170</v>
      </c>
      <c r="S19" s="12"/>
      <c r="T19" s="2" t="s">
        <v>163</v>
      </c>
      <c r="U19" s="2" t="s">
        <v>175</v>
      </c>
      <c r="V19" s="321"/>
      <c r="W19" s="321"/>
      <c r="X19" s="321"/>
      <c r="Y19" s="321"/>
      <c r="Z19" s="321"/>
      <c r="AA19" s="321"/>
      <c r="AB19" s="321"/>
      <c r="AC19" s="321"/>
      <c r="AD19" s="321"/>
      <c r="AE19" s="321"/>
      <c r="AF19" s="321"/>
      <c r="AG19" s="321"/>
      <c r="AH19" s="321"/>
      <c r="AI19" s="321"/>
      <c r="AJ19" s="321"/>
      <c r="AK19" s="321"/>
      <c r="AL19" s="321"/>
      <c r="AM19" s="321"/>
      <c r="AN19" s="321"/>
      <c r="AO19" s="321"/>
    </row>
    <row r="20" spans="1:41">
      <c r="A20" s="11" t="s">
        <v>24</v>
      </c>
      <c r="B20" s="3" t="s">
        <v>28</v>
      </c>
      <c r="C20" s="2" t="s">
        <v>26</v>
      </c>
      <c r="D20" s="12"/>
      <c r="E20" s="5"/>
      <c r="F20" s="2" t="s">
        <v>10</v>
      </c>
      <c r="G20" s="2" t="s">
        <v>13</v>
      </c>
      <c r="H20" s="2" t="s">
        <v>30</v>
      </c>
      <c r="I20" s="2" t="s">
        <v>31</v>
      </c>
      <c r="J20" s="12"/>
      <c r="K20" s="188">
        <v>0</v>
      </c>
      <c r="L20" s="188">
        <v>430000</v>
      </c>
      <c r="M20" s="12"/>
      <c r="N20" s="264" t="s">
        <v>164</v>
      </c>
      <c r="O20" s="17" t="str">
        <f>IF(計算!D13&lt;&gt;"",IF((DATEDIF(計算!D13,O3,"m")&gt;899),DATEDIF(計算!D13,O3-1,"y"),DATEDIF(計算!D13,O3,"y")),"")</f>
        <v/>
      </c>
      <c r="P20" s="17">
        <f>IF(計算!D13="",1,VLOOKUP(O20,T$20:U$23,2,TRUE))</f>
        <v>1</v>
      </c>
      <c r="Q20" s="262" t="s">
        <v>200</v>
      </c>
      <c r="R20" s="17">
        <f>DATEDIF(計算!D13,表!O$5-1,"y")</f>
        <v>124</v>
      </c>
      <c r="S20" s="12"/>
      <c r="T20" s="17">
        <v>0</v>
      </c>
      <c r="U20" s="17">
        <v>2</v>
      </c>
      <c r="V20" s="321"/>
      <c r="W20" s="321"/>
      <c r="X20" s="321"/>
      <c r="Y20" s="321"/>
      <c r="Z20" s="321"/>
      <c r="AA20" s="321"/>
      <c r="AB20" s="321"/>
      <c r="AC20" s="321"/>
      <c r="AD20" s="321"/>
      <c r="AE20" s="321"/>
      <c r="AF20" s="321"/>
      <c r="AG20" s="321"/>
      <c r="AH20" s="321"/>
      <c r="AI20" s="321"/>
      <c r="AJ20" s="321"/>
      <c r="AK20" s="321"/>
      <c r="AL20" s="321"/>
      <c r="AM20" s="321"/>
      <c r="AN20" s="321"/>
      <c r="AO20" s="321"/>
    </row>
    <row r="21" spans="1:41" ht="13.5" thickBot="1">
      <c r="A21" s="6">
        <f>R17</f>
        <v>0</v>
      </c>
      <c r="B21" s="4">
        <f>IF(B22="自動",VLOOKUP(A21,A26:B29,2,TRUE),B22)</f>
        <v>0.7</v>
      </c>
      <c r="C21" s="289" t="str">
        <f>VLOOKUP(B21,B26:C29,2,FALSE)</f>
        <v>7割軽減</v>
      </c>
      <c r="D21" s="12"/>
      <c r="E21" s="2" t="s">
        <v>9</v>
      </c>
      <c r="F21" s="62">
        <f>IF(D17&lt;1,0,C41*(D17-J33)+C42*J33-D49)</f>
        <v>0</v>
      </c>
      <c r="G21" s="63">
        <f>IF(D17&lt;1,0,VLOOKUP(F34,G37:I48,3,FALSE))</f>
        <v>0</v>
      </c>
      <c r="H21" s="48">
        <f>INT((I17-T17)*H2)</f>
        <v>0</v>
      </c>
      <c r="I21" s="62">
        <f>IF(SUM(F21:H21)&gt;I2,I2,SUM(F21:H21))</f>
        <v>0</v>
      </c>
      <c r="J21" s="12"/>
      <c r="K21" s="188">
        <v>24000001</v>
      </c>
      <c r="L21" s="188">
        <v>290000</v>
      </c>
      <c r="M21" s="12"/>
      <c r="N21" s="264" t="s">
        <v>165</v>
      </c>
      <c r="O21" s="17" t="str">
        <f>IF(計算!D15&lt;&gt;"",IF((DATEDIF(計算!D15,O3,"m")&gt;899),DATEDIF(計算!D15,O3-1,"y"),DATEDIF(計算!D15,O3,"y")),"")</f>
        <v/>
      </c>
      <c r="P21" s="17">
        <f>IF(計算!D15="",1,VLOOKUP(O21,T$20:U$23,2,TRUE))</f>
        <v>1</v>
      </c>
      <c r="Q21" s="262" t="s">
        <v>201</v>
      </c>
      <c r="R21" s="17">
        <f>DATEDIF(計算!D15,表!O$5-1,"y")</f>
        <v>124</v>
      </c>
      <c r="S21" s="12"/>
      <c r="T21" s="17">
        <v>40</v>
      </c>
      <c r="U21" s="17">
        <v>3</v>
      </c>
      <c r="V21" s="321"/>
      <c r="W21" s="321"/>
      <c r="X21" s="321"/>
      <c r="Y21" s="321"/>
      <c r="Z21" s="321"/>
      <c r="AA21" s="321"/>
      <c r="AB21" s="321"/>
      <c r="AC21" s="321"/>
      <c r="AD21" s="321"/>
      <c r="AE21" s="321"/>
      <c r="AF21" s="321"/>
      <c r="AG21" s="321"/>
      <c r="AH21" s="321"/>
      <c r="AI21" s="321"/>
      <c r="AJ21" s="321"/>
      <c r="AK21" s="321"/>
      <c r="AL21" s="321"/>
      <c r="AM21" s="321"/>
      <c r="AN21" s="321"/>
      <c r="AO21" s="321"/>
    </row>
    <row r="22" spans="1:41" ht="13.5" thickBot="1">
      <c r="A22" s="7" t="s">
        <v>65</v>
      </c>
      <c r="B22" s="13" t="str">
        <f>IF(C22="7割軽減",0.7,IF(C22="5割軽減",0.5,IF(C22="2割軽減",0.2,IF(C22="非該当",0,"自動"))))</f>
        <v>自動</v>
      </c>
      <c r="C22" s="312" t="s">
        <v>213</v>
      </c>
      <c r="D22" s="12"/>
      <c r="E22" s="2" t="s">
        <v>12</v>
      </c>
      <c r="F22" s="64">
        <f>IF(D17&lt;1,0,D41*(D17-J33)+D42*J33-E49)</f>
        <v>0</v>
      </c>
      <c r="G22" s="65">
        <f>IF(D17&lt;1,0,VLOOKUP(F34,G37:J48,4,FALSE))</f>
        <v>0</v>
      </c>
      <c r="H22" s="53">
        <f>INT((I17-T17)*H3)</f>
        <v>0</v>
      </c>
      <c r="I22" s="64">
        <f>IF(SUM(F22:H22)&gt;I3,I3,SUM(F22:H22))</f>
        <v>0</v>
      </c>
      <c r="J22" s="12"/>
      <c r="K22" s="188">
        <v>24500001</v>
      </c>
      <c r="L22" s="188">
        <v>150000</v>
      </c>
      <c r="M22" s="12"/>
      <c r="N22" s="264" t="s">
        <v>166</v>
      </c>
      <c r="O22" s="17" t="str">
        <f>IF(計算!D17&lt;&gt;"",IF((DATEDIF(計算!D17,O3,"m")&gt;899),DATEDIF(計算!D17,O3-1,"y"),DATEDIF(計算!D17,O3,"y")),"")</f>
        <v/>
      </c>
      <c r="P22" s="17">
        <f>IF(計算!D17="",1,VLOOKUP(O22,T$20:U$23,2,TRUE))</f>
        <v>1</v>
      </c>
      <c r="Q22" s="262" t="s">
        <v>200</v>
      </c>
      <c r="R22" s="17">
        <f>DATEDIF(計算!D17,表!O$5-1,"y")</f>
        <v>124</v>
      </c>
      <c r="S22" s="12"/>
      <c r="T22" s="17">
        <v>65</v>
      </c>
      <c r="U22" s="17">
        <v>4</v>
      </c>
      <c r="V22" s="321"/>
      <c r="W22" s="321"/>
      <c r="X22" s="321"/>
      <c r="Y22" s="321"/>
      <c r="Z22" s="321"/>
      <c r="AA22" s="321"/>
      <c r="AB22" s="321"/>
      <c r="AC22" s="321"/>
      <c r="AD22" s="321"/>
      <c r="AE22" s="321"/>
      <c r="AF22" s="321"/>
      <c r="AG22" s="321"/>
      <c r="AH22" s="321"/>
      <c r="AI22" s="321"/>
      <c r="AJ22" s="321"/>
      <c r="AK22" s="321"/>
      <c r="AL22" s="321"/>
      <c r="AM22" s="321"/>
      <c r="AN22" s="321"/>
      <c r="AO22" s="321"/>
    </row>
    <row r="23" spans="1:41">
      <c r="A23" s="12"/>
      <c r="B23" s="12"/>
      <c r="C23" s="12"/>
      <c r="D23" s="12"/>
      <c r="E23" s="2" t="s">
        <v>11</v>
      </c>
      <c r="F23" s="58">
        <f>(F4-ROUNDUP(F4*B$21,0))*E17</f>
        <v>0</v>
      </c>
      <c r="G23" s="66">
        <f>IF(E17&gt;0,G4-ROUNDUP(G4*B$21,0),0)</f>
        <v>0</v>
      </c>
      <c r="H23" s="58">
        <f>INT(J17*H4)</f>
        <v>0</v>
      </c>
      <c r="I23" s="67">
        <f>IF(SUM(F23:H23)&gt;I4,I4,SUM(F23:H23))</f>
        <v>0</v>
      </c>
      <c r="J23" s="12"/>
      <c r="K23" s="188">
        <v>25000001</v>
      </c>
      <c r="L23" s="188">
        <v>0</v>
      </c>
      <c r="M23" s="12"/>
      <c r="N23" s="264" t="s">
        <v>167</v>
      </c>
      <c r="O23" s="17" t="str">
        <f>IF(計算!D19&lt;&gt;"",IF((DATEDIF(計算!D19,O3,"m")&gt;899),DATEDIF(計算!D19,O3-1,"y"),DATEDIF(計算!D19,O3,"y")),"")</f>
        <v/>
      </c>
      <c r="P23" s="17">
        <f>IF(計算!D19="",1,VLOOKUP(O23,T$20:U$23,2,TRUE))</f>
        <v>1</v>
      </c>
      <c r="Q23" s="262" t="s">
        <v>200</v>
      </c>
      <c r="R23" s="17">
        <f>DATEDIF(計算!D19,表!O$5-1,"y")</f>
        <v>124</v>
      </c>
      <c r="S23" s="12"/>
      <c r="T23" s="17">
        <v>75</v>
      </c>
      <c r="U23" s="17">
        <v>5</v>
      </c>
      <c r="V23" s="321"/>
      <c r="W23" s="321"/>
      <c r="X23" s="321"/>
      <c r="Y23" s="321"/>
      <c r="Z23" s="321"/>
      <c r="AA23" s="321"/>
      <c r="AB23" s="321"/>
      <c r="AC23" s="321"/>
      <c r="AD23" s="321"/>
      <c r="AE23" s="321"/>
      <c r="AF23" s="321"/>
      <c r="AG23" s="321"/>
      <c r="AH23" s="321"/>
      <c r="AI23" s="321"/>
      <c r="AJ23" s="321"/>
      <c r="AK23" s="321"/>
      <c r="AL23" s="321"/>
      <c r="AM23" s="321"/>
      <c r="AN23" s="321"/>
      <c r="AO23" s="321"/>
    </row>
    <row r="24" spans="1:41">
      <c r="A24" s="12" t="s">
        <v>78</v>
      </c>
      <c r="B24" s="12"/>
      <c r="C24" s="12"/>
      <c r="D24" s="12"/>
      <c r="E24" s="12"/>
      <c r="F24" s="12"/>
      <c r="G24" s="12"/>
      <c r="H24" s="12"/>
      <c r="I24" s="10">
        <f>SUM(I21:I23)</f>
        <v>0</v>
      </c>
      <c r="J24" s="12"/>
      <c r="K24" s="12"/>
      <c r="L24" s="12"/>
      <c r="M24" s="12"/>
      <c r="N24" s="264" t="s">
        <v>168</v>
      </c>
      <c r="O24" s="17" t="str">
        <f>IF(計算!D21&lt;&gt;"",IF((DATEDIF(計算!D21,O3,"m")&gt;899),DATEDIF(計算!D21,O3-1,"y"),DATEDIF(計算!D21,O3,"y")),"")</f>
        <v/>
      </c>
      <c r="P24" s="17">
        <f>IF(計算!D21="",1,VLOOKUP(O24,T$20:U$23,2,TRUE))</f>
        <v>1</v>
      </c>
      <c r="Q24" s="262" t="s">
        <v>200</v>
      </c>
      <c r="R24" s="17">
        <f>DATEDIF(計算!D21,表!O$5-1,"y")</f>
        <v>124</v>
      </c>
      <c r="S24" s="12"/>
      <c r="T24" s="12"/>
      <c r="U24" s="12"/>
      <c r="V24" s="321"/>
      <c r="W24" s="321"/>
      <c r="X24" s="321"/>
      <c r="Y24" s="321"/>
      <c r="Z24" s="321"/>
      <c r="AA24" s="321"/>
      <c r="AB24" s="321"/>
      <c r="AC24" s="321"/>
      <c r="AD24" s="321"/>
      <c r="AE24" s="321"/>
      <c r="AF24" s="321"/>
      <c r="AG24" s="321"/>
      <c r="AH24" s="321"/>
      <c r="AI24" s="321"/>
      <c r="AJ24" s="321"/>
      <c r="AK24" s="321"/>
      <c r="AL24" s="321"/>
      <c r="AM24" s="321"/>
      <c r="AN24" s="321"/>
      <c r="AO24" s="321"/>
    </row>
    <row r="25" spans="1:41">
      <c r="A25" s="18" t="s">
        <v>25</v>
      </c>
      <c r="B25" s="2" t="s">
        <v>28</v>
      </c>
      <c r="C25" s="2" t="s">
        <v>26</v>
      </c>
      <c r="D25" s="12"/>
      <c r="E25" s="12" t="s">
        <v>154</v>
      </c>
      <c r="F25" s="12"/>
      <c r="G25" s="12"/>
      <c r="H25" s="12"/>
      <c r="I25" s="12"/>
      <c r="J25" s="12"/>
      <c r="K25" s="12"/>
      <c r="L25" s="12"/>
      <c r="M25" s="12"/>
      <c r="N25" s="264" t="s">
        <v>169</v>
      </c>
      <c r="O25" s="17" t="str">
        <f>IF(計算!D23&lt;&gt;"",IF((DATEDIF(計算!D23,O3,"m")&gt;899),DATEDIF(計算!D23,O3-1,"y"),DATEDIF(計算!D23,O3,"y")),"")</f>
        <v/>
      </c>
      <c r="P25" s="17">
        <f>IF(計算!D23="",1,VLOOKUP(O25,T$20:U$23,2,TRUE))</f>
        <v>1</v>
      </c>
      <c r="Q25" s="262" t="s">
        <v>200</v>
      </c>
      <c r="R25" s="17">
        <f>DATEDIF(計算!D23,表!O$5-1,"y")</f>
        <v>124</v>
      </c>
      <c r="S25" s="12"/>
      <c r="T25" s="12"/>
      <c r="U25" s="12"/>
      <c r="V25" s="321"/>
      <c r="W25" s="321"/>
      <c r="X25" s="321"/>
      <c r="Y25" s="321"/>
      <c r="Z25" s="321"/>
      <c r="AA25" s="321"/>
      <c r="AB25" s="321"/>
      <c r="AC25" s="321"/>
      <c r="AD25" s="321"/>
      <c r="AE25" s="321"/>
      <c r="AF25" s="321"/>
      <c r="AG25" s="321"/>
      <c r="AH25" s="321"/>
      <c r="AI25" s="321"/>
      <c r="AJ25" s="321"/>
      <c r="AK25" s="321"/>
      <c r="AL25" s="321"/>
      <c r="AM25" s="321"/>
      <c r="AN25" s="321"/>
      <c r="AO25" s="321"/>
    </row>
    <row r="26" spans="1:41" ht="13.5" thickBot="1">
      <c r="A26" s="68">
        <f>0</f>
        <v>0</v>
      </c>
      <c r="B26" s="44">
        <v>0.7</v>
      </c>
      <c r="C26" s="44" t="s">
        <v>21</v>
      </c>
      <c r="D26" s="12"/>
      <c r="E26" s="17"/>
      <c r="F26" s="282" t="s">
        <v>80</v>
      </c>
      <c r="G26" s="282" t="s">
        <v>81</v>
      </c>
      <c r="H26" s="12"/>
      <c r="I26" s="12"/>
      <c r="J26" s="12"/>
      <c r="K26" s="12"/>
      <c r="L26" s="12"/>
      <c r="M26" s="12"/>
      <c r="N26" s="12"/>
      <c r="O26" s="12"/>
      <c r="P26" s="12"/>
      <c r="Q26" s="12"/>
      <c r="R26" s="12"/>
      <c r="S26" s="12"/>
      <c r="T26" s="12"/>
      <c r="U26" s="12"/>
      <c r="V26" s="321"/>
      <c r="W26" s="321"/>
      <c r="X26" s="321"/>
      <c r="Y26" s="321"/>
      <c r="Z26" s="321"/>
      <c r="AA26" s="321"/>
      <c r="AB26" s="321"/>
      <c r="AC26" s="321"/>
      <c r="AD26" s="321"/>
      <c r="AE26" s="321"/>
      <c r="AF26" s="321"/>
      <c r="AG26" s="321"/>
      <c r="AH26" s="321"/>
      <c r="AI26" s="321"/>
      <c r="AJ26" s="321"/>
      <c r="AK26" s="321"/>
      <c r="AL26" s="321"/>
      <c r="AM26" s="321"/>
      <c r="AN26" s="321"/>
      <c r="AO26" s="321"/>
    </row>
    <row r="27" spans="1:41" ht="13.5" thickBot="1">
      <c r="A27" s="69">
        <f>IF(P65&gt;=2,K2+(100000*(P65-1))+1,K2+1)</f>
        <v>430001</v>
      </c>
      <c r="B27" s="45">
        <v>0.5</v>
      </c>
      <c r="C27" s="45" t="s">
        <v>22</v>
      </c>
      <c r="D27" s="12"/>
      <c r="E27" s="1" t="s">
        <v>79</v>
      </c>
      <c r="F27" s="313">
        <v>0</v>
      </c>
      <c r="G27" s="315">
        <v>0</v>
      </c>
      <c r="H27" s="22" t="str">
        <f>IF(F27&gt;0,"（加入者追加人数　"&amp;F27&amp;"人）","")</f>
        <v/>
      </c>
      <c r="I27" s="22" t="str">
        <f>IF(G27&gt;0,"（介護追加人数　"&amp;G27&amp;"人）","")</f>
        <v/>
      </c>
      <c r="J27" s="12"/>
      <c r="K27" s="12"/>
      <c r="L27" s="12"/>
      <c r="M27" s="12"/>
      <c r="N27" s="12"/>
      <c r="O27" s="12"/>
      <c r="P27" s="12"/>
      <c r="Q27" s="12"/>
      <c r="R27" s="12"/>
      <c r="S27" s="12"/>
      <c r="T27" s="12"/>
      <c r="U27" s="12"/>
      <c r="V27" s="321"/>
      <c r="W27" s="321"/>
      <c r="X27" s="321"/>
      <c r="Y27" s="321"/>
      <c r="Z27" s="321"/>
      <c r="AA27" s="321"/>
      <c r="AB27" s="321"/>
      <c r="AC27" s="321"/>
      <c r="AD27" s="321"/>
      <c r="AE27" s="321"/>
      <c r="AF27" s="321"/>
      <c r="AG27" s="321"/>
      <c r="AH27" s="321"/>
      <c r="AI27" s="321"/>
      <c r="AJ27" s="321"/>
      <c r="AK27" s="321"/>
      <c r="AL27" s="321"/>
      <c r="AM27" s="321"/>
      <c r="AN27" s="321"/>
      <c r="AO27" s="321"/>
    </row>
    <row r="28" spans="1:41" ht="13.5" thickBot="1">
      <c r="A28" s="70">
        <f>IF(P65&gt;=2,K2+L2*(D17+F28)+(100000*(P65-1))+1,K2+L2*(D17+F28)+1)</f>
        <v>430001</v>
      </c>
      <c r="B28" s="45">
        <v>0.2</v>
      </c>
      <c r="C28" s="45" t="s">
        <v>27</v>
      </c>
      <c r="D28" s="12"/>
      <c r="E28" s="1" t="s">
        <v>82</v>
      </c>
      <c r="F28" s="314">
        <v>0</v>
      </c>
      <c r="G28" s="21" t="s">
        <v>83</v>
      </c>
      <c r="H28" s="12" t="str">
        <f>IF(F28&gt;0,"（軽減判定追加人数　"&amp;F28&amp;"人）","")</f>
        <v/>
      </c>
      <c r="I28" s="12"/>
      <c r="J28" s="12"/>
      <c r="K28" s="12"/>
      <c r="L28" s="12"/>
      <c r="M28" s="12"/>
      <c r="N28" s="12"/>
      <c r="O28" s="12"/>
      <c r="P28" s="12"/>
      <c r="Q28" s="12"/>
      <c r="R28" s="12"/>
      <c r="S28" s="12"/>
      <c r="T28" s="12"/>
      <c r="U28" s="12"/>
      <c r="V28" s="321"/>
      <c r="W28" s="321"/>
      <c r="X28" s="321"/>
      <c r="Y28" s="321"/>
      <c r="Z28" s="321"/>
      <c r="AA28" s="321"/>
      <c r="AB28" s="321"/>
      <c r="AC28" s="321"/>
      <c r="AD28" s="321"/>
      <c r="AE28" s="321"/>
      <c r="AF28" s="321"/>
      <c r="AG28" s="321"/>
      <c r="AH28" s="321"/>
      <c r="AI28" s="321"/>
      <c r="AJ28" s="321"/>
      <c r="AK28" s="321"/>
      <c r="AL28" s="321"/>
      <c r="AM28" s="321"/>
      <c r="AN28" s="321"/>
      <c r="AO28" s="321"/>
    </row>
    <row r="29" spans="1:41">
      <c r="A29" s="71">
        <f>IF(P65&gt;=2,K2+M2*(D17+F28)+(100000*(P65-1))+1,K2+M2*(D17+F28)+1)</f>
        <v>430001</v>
      </c>
      <c r="B29" s="46">
        <v>0</v>
      </c>
      <c r="C29" s="281" t="s">
        <v>29</v>
      </c>
      <c r="D29" s="12"/>
      <c r="E29" s="17"/>
      <c r="F29" s="20"/>
      <c r="G29" s="17"/>
      <c r="H29" s="41" t="str">
        <f>IF(F27&lt;G27,"人数おかしくない？","")</f>
        <v/>
      </c>
      <c r="I29" s="12"/>
      <c r="J29" s="12"/>
      <c r="K29" s="12"/>
      <c r="L29" s="12"/>
      <c r="M29" s="12"/>
      <c r="N29" s="12"/>
      <c r="O29" s="12"/>
      <c r="P29" s="12"/>
      <c r="Q29" s="12"/>
      <c r="R29" s="12"/>
      <c r="S29" s="12"/>
      <c r="T29" s="12"/>
      <c r="U29" s="12"/>
      <c r="V29" s="321"/>
      <c r="W29" s="321"/>
      <c r="X29" s="321"/>
      <c r="Y29" s="321"/>
      <c r="Z29" s="321"/>
      <c r="AA29" s="321"/>
      <c r="AB29" s="321"/>
      <c r="AC29" s="321"/>
      <c r="AD29" s="321"/>
      <c r="AE29" s="321"/>
      <c r="AF29" s="321"/>
      <c r="AG29" s="321"/>
      <c r="AH29" s="321"/>
      <c r="AI29" s="321"/>
      <c r="AJ29" s="321"/>
      <c r="AK29" s="321"/>
      <c r="AL29" s="321"/>
      <c r="AM29" s="321"/>
      <c r="AN29" s="321"/>
      <c r="AO29" s="321"/>
    </row>
    <row r="30" spans="1:41">
      <c r="A30" s="12"/>
      <c r="B30" s="12"/>
      <c r="C30" s="12"/>
      <c r="D30" s="12"/>
      <c r="E30" s="12"/>
      <c r="F30" s="12"/>
      <c r="G30" s="12"/>
      <c r="H30" s="12"/>
      <c r="I30" s="12"/>
      <c r="J30" s="12"/>
      <c r="K30" s="12"/>
      <c r="L30" s="12"/>
      <c r="M30" s="12"/>
      <c r="N30" s="12"/>
      <c r="O30" s="12"/>
      <c r="P30" s="12"/>
      <c r="Q30" s="12"/>
      <c r="R30" s="12"/>
      <c r="S30" s="12"/>
      <c r="T30" s="12"/>
      <c r="U30" s="12"/>
      <c r="V30" s="321"/>
      <c r="W30" s="321"/>
      <c r="X30" s="321"/>
      <c r="Y30" s="321"/>
      <c r="Z30" s="321"/>
      <c r="AA30" s="321"/>
      <c r="AB30" s="321"/>
      <c r="AC30" s="321"/>
      <c r="AD30" s="321"/>
      <c r="AE30" s="321"/>
      <c r="AF30" s="321"/>
      <c r="AG30" s="321"/>
      <c r="AH30" s="321"/>
      <c r="AI30" s="321"/>
      <c r="AJ30" s="321"/>
      <c r="AK30" s="321"/>
      <c r="AL30" s="321"/>
      <c r="AM30" s="321"/>
      <c r="AN30" s="321"/>
      <c r="AO30" s="321"/>
    </row>
    <row r="31" spans="1:41">
      <c r="A31" s="12"/>
      <c r="B31" s="12"/>
      <c r="C31" s="12"/>
      <c r="D31" s="12"/>
      <c r="E31" s="12" t="s">
        <v>155</v>
      </c>
      <c r="F31" s="12"/>
      <c r="G31" s="12"/>
      <c r="H31" s="12"/>
      <c r="I31" s="12" t="s">
        <v>156</v>
      </c>
      <c r="J31" s="12"/>
      <c r="K31" s="12"/>
      <c r="L31" s="12"/>
      <c r="M31" s="12"/>
      <c r="N31" s="12"/>
      <c r="O31" s="12"/>
      <c r="P31" s="12"/>
      <c r="Q31" s="12"/>
      <c r="R31" s="12"/>
      <c r="S31" s="12"/>
      <c r="T31" s="12"/>
      <c r="U31" s="12"/>
      <c r="V31" s="321"/>
      <c r="W31" s="321"/>
      <c r="X31" s="321"/>
      <c r="Y31" s="321"/>
      <c r="Z31" s="321"/>
      <c r="AA31" s="321"/>
      <c r="AB31" s="321"/>
      <c r="AC31" s="321"/>
      <c r="AD31" s="321"/>
      <c r="AE31" s="321"/>
      <c r="AF31" s="321"/>
      <c r="AG31" s="321"/>
      <c r="AH31" s="321"/>
      <c r="AI31" s="321"/>
      <c r="AJ31" s="321"/>
      <c r="AK31" s="321"/>
      <c r="AL31" s="321"/>
      <c r="AM31" s="321"/>
      <c r="AN31" s="321"/>
      <c r="AO31" s="321"/>
    </row>
    <row r="32" spans="1:41" ht="13.5" thickBot="1">
      <c r="A32" s="12"/>
      <c r="B32" s="12"/>
      <c r="C32" s="12"/>
      <c r="D32" s="12"/>
      <c r="E32" s="17"/>
      <c r="F32" s="283" t="s">
        <v>80</v>
      </c>
      <c r="G32" s="12"/>
      <c r="H32" s="12"/>
      <c r="I32" s="17"/>
      <c r="J32" s="284" t="s">
        <v>80</v>
      </c>
      <c r="K32" s="285" t="s">
        <v>117</v>
      </c>
      <c r="L32" s="43" t="str">
        <f>IF(AND(J33=0,K33="あり"),"人数が入ってないですよ！","")</f>
        <v/>
      </c>
      <c r="M32" s="12"/>
      <c r="N32" s="12"/>
      <c r="O32" s="12"/>
      <c r="P32" s="12"/>
      <c r="Q32" s="12"/>
      <c r="R32" s="12"/>
      <c r="S32" s="12"/>
      <c r="T32" s="12"/>
      <c r="U32" s="12"/>
      <c r="V32" s="321"/>
      <c r="W32" s="321"/>
      <c r="X32" s="321"/>
      <c r="Y32" s="321"/>
      <c r="Z32" s="321"/>
      <c r="AA32" s="321"/>
      <c r="AB32" s="321"/>
      <c r="AC32" s="321"/>
      <c r="AD32" s="321"/>
      <c r="AE32" s="321"/>
      <c r="AF32" s="321"/>
      <c r="AG32" s="321"/>
      <c r="AH32" s="321"/>
      <c r="AI32" s="321"/>
      <c r="AJ32" s="321"/>
      <c r="AK32" s="321"/>
      <c r="AL32" s="321"/>
      <c r="AM32" s="321"/>
      <c r="AN32" s="321"/>
      <c r="AO32" s="321"/>
    </row>
    <row r="33" spans="1:41" ht="13.5" thickBot="1">
      <c r="A33" s="12"/>
      <c r="B33" s="12"/>
      <c r="C33" s="12"/>
      <c r="D33" s="12"/>
      <c r="E33" s="269" t="s">
        <v>84</v>
      </c>
      <c r="F33" s="316">
        <v>1</v>
      </c>
      <c r="G33" s="473" t="str">
        <f>IF(AND(D17&gt;1,F33&lt;1),"加入者が2人以上です！(旧国)","")</f>
        <v/>
      </c>
      <c r="H33" s="474"/>
      <c r="I33" s="269" t="s">
        <v>107</v>
      </c>
      <c r="J33" s="317">
        <v>0</v>
      </c>
      <c r="K33" s="318" t="s">
        <v>229</v>
      </c>
      <c r="L33" s="41" t="str">
        <f>IF(OR(D17&lt;J33,AND(J33&gt;0,K34&lt;&gt;J33)),"人数エラー(旧被扶養者減免)",IF(AND(B21&gt;0.2,J33&gt;0),"応益割減免対象外(旧被扶養者減免)",""))</f>
        <v/>
      </c>
      <c r="M33" s="12"/>
      <c r="N33" s="8"/>
      <c r="O33" s="8"/>
      <c r="P33" s="8"/>
      <c r="Q33" s="8"/>
      <c r="R33" s="12"/>
      <c r="S33" s="12"/>
      <c r="T33" s="12"/>
      <c r="U33" s="12"/>
      <c r="V33" s="321"/>
      <c r="W33" s="321"/>
      <c r="X33" s="321"/>
      <c r="Y33" s="321"/>
      <c r="Z33" s="321"/>
      <c r="AA33" s="321"/>
      <c r="AB33" s="321"/>
      <c r="AC33" s="321"/>
      <c r="AD33" s="321"/>
      <c r="AE33" s="321"/>
      <c r="AF33" s="321"/>
      <c r="AG33" s="321"/>
      <c r="AH33" s="321"/>
      <c r="AI33" s="321"/>
      <c r="AJ33" s="321"/>
      <c r="AK33" s="321"/>
      <c r="AL33" s="321"/>
      <c r="AM33" s="321"/>
      <c r="AN33" s="321"/>
      <c r="AO33" s="321"/>
    </row>
    <row r="34" spans="1:41">
      <c r="A34" s="12"/>
      <c r="B34" s="12"/>
      <c r="C34" s="12"/>
      <c r="D34" s="12"/>
      <c r="E34" s="37" t="s">
        <v>108</v>
      </c>
      <c r="F34" s="12">
        <f>IF(K33="あり",0.5,B21*10+F33)</f>
        <v>8</v>
      </c>
      <c r="G34" s="42" t="str">
        <f>IF(F33=1,"","旧国の適用有")</f>
        <v/>
      </c>
      <c r="H34" s="12"/>
      <c r="I34" s="37" t="s">
        <v>112</v>
      </c>
      <c r="J34" s="12">
        <f>B21*10</f>
        <v>7</v>
      </c>
      <c r="K34" s="12">
        <f>COUNTIF(B11:B16,4)</f>
        <v>0</v>
      </c>
      <c r="L34" s="224" t="str">
        <f>IF(K33="あり","平等割1/2(旧被扶養者減免)","")</f>
        <v/>
      </c>
      <c r="M34" s="223"/>
      <c r="N34" s="223"/>
      <c r="O34" s="223"/>
      <c r="P34" s="223"/>
      <c r="Q34" s="223"/>
      <c r="R34" s="12"/>
      <c r="S34" s="12"/>
      <c r="T34" s="12"/>
      <c r="U34" s="12"/>
      <c r="V34" s="321"/>
      <c r="W34" s="321"/>
      <c r="X34" s="321"/>
      <c r="Y34" s="321"/>
      <c r="Z34" s="321"/>
      <c r="AA34" s="321"/>
      <c r="AB34" s="321"/>
      <c r="AC34" s="321"/>
      <c r="AD34" s="321"/>
      <c r="AE34" s="321"/>
      <c r="AF34" s="321"/>
      <c r="AG34" s="321"/>
      <c r="AH34" s="321"/>
      <c r="AI34" s="321"/>
      <c r="AJ34" s="321"/>
      <c r="AK34" s="321"/>
      <c r="AL34" s="321"/>
      <c r="AM34" s="321"/>
      <c r="AN34" s="321"/>
      <c r="AO34" s="321"/>
    </row>
    <row r="35" spans="1:41">
      <c r="A35" s="35"/>
      <c r="B35" s="35" t="s">
        <v>104</v>
      </c>
      <c r="C35" s="35"/>
      <c r="D35" s="35"/>
      <c r="E35" s="35"/>
      <c r="F35" s="35"/>
      <c r="G35" s="40" t="s">
        <v>115</v>
      </c>
      <c r="H35" s="35"/>
      <c r="I35" s="35"/>
      <c r="J35" s="35"/>
      <c r="K35" s="35"/>
      <c r="L35" s="29"/>
      <c r="M35" s="29" t="s">
        <v>202</v>
      </c>
      <c r="N35" s="8"/>
      <c r="O35" s="8"/>
      <c r="P35" s="8"/>
      <c r="Q35" s="8"/>
      <c r="R35" s="12"/>
      <c r="S35" s="12"/>
      <c r="T35" s="12"/>
      <c r="U35" s="12"/>
      <c r="V35" s="321"/>
      <c r="W35" s="321"/>
      <c r="X35" s="321"/>
      <c r="Y35" s="321"/>
      <c r="Z35" s="321"/>
      <c r="AA35" s="321"/>
      <c r="AB35" s="321"/>
      <c r="AC35" s="321"/>
      <c r="AD35" s="321"/>
      <c r="AE35" s="321"/>
      <c r="AF35" s="321"/>
      <c r="AG35" s="321"/>
      <c r="AH35" s="321"/>
      <c r="AI35" s="321"/>
      <c r="AJ35" s="321"/>
      <c r="AK35" s="321"/>
      <c r="AL35" s="321"/>
      <c r="AM35" s="321"/>
      <c r="AN35" s="321"/>
      <c r="AO35" s="321"/>
    </row>
    <row r="36" spans="1:41">
      <c r="A36" s="39" t="s">
        <v>111</v>
      </c>
      <c r="B36" s="252" t="s">
        <v>105</v>
      </c>
      <c r="C36" s="252" t="s">
        <v>85</v>
      </c>
      <c r="D36" s="252" t="s">
        <v>86</v>
      </c>
      <c r="E36" s="252" t="s">
        <v>87</v>
      </c>
      <c r="F36" s="27"/>
      <c r="G36" s="294" t="s">
        <v>113</v>
      </c>
      <c r="H36" s="252" t="s">
        <v>106</v>
      </c>
      <c r="I36" s="252" t="s">
        <v>85</v>
      </c>
      <c r="J36" s="252" t="s">
        <v>86</v>
      </c>
      <c r="K36" s="252" t="s">
        <v>87</v>
      </c>
      <c r="L36" s="27"/>
      <c r="M36" s="479" t="s">
        <v>150</v>
      </c>
      <c r="N36" s="479"/>
      <c r="O36" s="479"/>
      <c r="P36" s="479"/>
      <c r="Q36" s="479"/>
      <c r="R36" s="12"/>
      <c r="S36" s="12"/>
      <c r="T36" s="12"/>
      <c r="U36" s="12"/>
      <c r="V36" s="321"/>
      <c r="W36" s="321"/>
      <c r="X36" s="321"/>
      <c r="Y36" s="321"/>
      <c r="Z36" s="321"/>
      <c r="AA36" s="321"/>
      <c r="AB36" s="321"/>
      <c r="AC36" s="321"/>
      <c r="AD36" s="321"/>
      <c r="AE36" s="321"/>
      <c r="AF36" s="321"/>
      <c r="AG36" s="321"/>
      <c r="AH36" s="321"/>
      <c r="AI36" s="321"/>
      <c r="AJ36" s="321"/>
      <c r="AK36" s="321"/>
      <c r="AL36" s="321"/>
      <c r="AM36" s="321"/>
      <c r="AN36" s="321"/>
      <c r="AO36" s="321"/>
    </row>
    <row r="37" spans="1:41">
      <c r="A37" s="253">
        <v>0</v>
      </c>
      <c r="B37" s="293" t="s">
        <v>88</v>
      </c>
      <c r="C37" s="211">
        <f>F2</f>
        <v>27820</v>
      </c>
      <c r="D37" s="211">
        <f>F3</f>
        <v>10741</v>
      </c>
      <c r="E37" s="211">
        <f>F4</f>
        <v>8056</v>
      </c>
      <c r="F37" s="27"/>
      <c r="G37" s="28">
        <v>1</v>
      </c>
      <c r="H37" s="293" t="s">
        <v>92</v>
      </c>
      <c r="I37" s="211">
        <f>G2</f>
        <v>27314</v>
      </c>
      <c r="J37" s="211">
        <f>G3</f>
        <v>10545</v>
      </c>
      <c r="K37" s="211">
        <f>G4</f>
        <v>6045</v>
      </c>
      <c r="L37" s="27"/>
      <c r="M37" s="478" t="s">
        <v>151</v>
      </c>
      <c r="N37" s="478"/>
      <c r="O37" s="478"/>
      <c r="P37" s="478"/>
      <c r="Q37" s="478"/>
      <c r="R37" s="12"/>
      <c r="S37" s="12"/>
      <c r="T37" s="12"/>
      <c r="U37" s="12"/>
      <c r="V37" s="321"/>
      <c r="W37" s="321"/>
      <c r="X37" s="321"/>
      <c r="Y37" s="321"/>
      <c r="Z37" s="321"/>
      <c r="AA37" s="321"/>
      <c r="AB37" s="321"/>
      <c r="AC37" s="321"/>
      <c r="AD37" s="321"/>
      <c r="AE37" s="321"/>
      <c r="AF37" s="321"/>
      <c r="AG37" s="321"/>
      <c r="AH37" s="321"/>
      <c r="AI37" s="321"/>
      <c r="AJ37" s="321"/>
      <c r="AK37" s="321"/>
      <c r="AL37" s="321"/>
      <c r="AM37" s="321"/>
      <c r="AN37" s="321"/>
      <c r="AO37" s="321"/>
    </row>
    <row r="38" spans="1:41">
      <c r="A38" s="253">
        <v>7</v>
      </c>
      <c r="B38" s="214" t="s">
        <v>89</v>
      </c>
      <c r="C38" s="212">
        <f>$C$37-ROUNDUP($C$37*0.7,0)</f>
        <v>8346</v>
      </c>
      <c r="D38" s="212">
        <f>$D$37-ROUNDUP($D$37*0.7,0)</f>
        <v>3222</v>
      </c>
      <c r="E38" s="212">
        <f>$E$37-ROUNDUP($E$37*0.7,0)</f>
        <v>2416</v>
      </c>
      <c r="F38" s="27"/>
      <c r="G38" s="28">
        <v>8</v>
      </c>
      <c r="H38" s="214" t="s">
        <v>93</v>
      </c>
      <c r="I38" s="212">
        <f>$I$37-ROUNDUP($I$37*0.7,0)</f>
        <v>8194</v>
      </c>
      <c r="J38" s="212">
        <f>$J$37-ROUNDUP($J$37*0.7,0)</f>
        <v>3163</v>
      </c>
      <c r="K38" s="212">
        <f>$K$37-ROUNDUP($K$37*0.7,0)</f>
        <v>1813</v>
      </c>
      <c r="L38" s="27"/>
      <c r="M38" s="476" t="s">
        <v>230</v>
      </c>
      <c r="N38" s="476"/>
      <c r="O38" s="476"/>
      <c r="P38" s="476"/>
      <c r="Q38" s="476"/>
      <c r="R38" s="12"/>
      <c r="S38" s="12"/>
      <c r="T38" s="12"/>
      <c r="U38" s="12"/>
      <c r="V38" s="321"/>
      <c r="W38" s="321"/>
      <c r="X38" s="321"/>
      <c r="Y38" s="321"/>
      <c r="Z38" s="321"/>
      <c r="AA38" s="321"/>
      <c r="AB38" s="321"/>
      <c r="AC38" s="321"/>
      <c r="AD38" s="321"/>
      <c r="AE38" s="321"/>
      <c r="AF38" s="321"/>
      <c r="AG38" s="321"/>
      <c r="AH38" s="321"/>
      <c r="AI38" s="321"/>
      <c r="AJ38" s="321"/>
      <c r="AK38" s="321"/>
      <c r="AL38" s="321"/>
      <c r="AM38" s="321"/>
      <c r="AN38" s="321"/>
      <c r="AO38" s="321"/>
    </row>
    <row r="39" spans="1:41">
      <c r="A39" s="253">
        <v>5</v>
      </c>
      <c r="B39" s="214" t="s">
        <v>90</v>
      </c>
      <c r="C39" s="212">
        <f>$C$37-ROUNDUP($C$37*0.5,0)</f>
        <v>13910</v>
      </c>
      <c r="D39" s="212">
        <f>$D$37-ROUNDUP($D$37*0.5,0)</f>
        <v>5370</v>
      </c>
      <c r="E39" s="212">
        <f>$E$37-ROUNDUP($E$37*0.5,0)</f>
        <v>4028</v>
      </c>
      <c r="F39" s="27"/>
      <c r="G39" s="28">
        <v>6</v>
      </c>
      <c r="H39" s="214" t="s">
        <v>94</v>
      </c>
      <c r="I39" s="212">
        <f>$I$37-ROUNDUP($I$37*0.5,0)</f>
        <v>13657</v>
      </c>
      <c r="J39" s="212">
        <f>$J$37-ROUNDUP($J$37*0.5,0)</f>
        <v>5272</v>
      </c>
      <c r="K39" s="212">
        <f>$K$37-ROUNDUP($K$37*0.5,0)</f>
        <v>3022</v>
      </c>
      <c r="L39" s="27"/>
      <c r="M39" s="477" t="s">
        <v>231</v>
      </c>
      <c r="N39" s="477"/>
      <c r="O39" s="477"/>
      <c r="P39" s="477"/>
      <c r="Q39" s="477"/>
      <c r="R39" s="12"/>
      <c r="S39" s="12"/>
      <c r="T39" s="12"/>
      <c r="U39" s="12"/>
      <c r="V39" s="321"/>
      <c r="W39" s="321"/>
      <c r="X39" s="321"/>
      <c r="Y39" s="321"/>
      <c r="Z39" s="321"/>
      <c r="AA39" s="321"/>
      <c r="AB39" s="321"/>
      <c r="AC39" s="321"/>
      <c r="AD39" s="321"/>
      <c r="AE39" s="321"/>
      <c r="AF39" s="321"/>
      <c r="AG39" s="321"/>
      <c r="AH39" s="321"/>
      <c r="AI39" s="321"/>
      <c r="AJ39" s="321"/>
      <c r="AK39" s="321"/>
      <c r="AL39" s="321"/>
      <c r="AM39" s="321"/>
      <c r="AN39" s="321"/>
      <c r="AO39" s="321"/>
    </row>
    <row r="40" spans="1:41">
      <c r="A40" s="253">
        <v>2</v>
      </c>
      <c r="B40" s="215" t="s">
        <v>91</v>
      </c>
      <c r="C40" s="213">
        <f>$C$37-ROUNDUP($C$37*0.2,0)</f>
        <v>22256</v>
      </c>
      <c r="D40" s="213">
        <f>$D$37-ROUNDUP($D$37*0.2,0)</f>
        <v>8592</v>
      </c>
      <c r="E40" s="213">
        <f>$E$37-ROUNDUP($E$37*0.2,0)</f>
        <v>6444</v>
      </c>
      <c r="F40" s="27"/>
      <c r="G40" s="28">
        <v>3</v>
      </c>
      <c r="H40" s="214" t="s">
        <v>95</v>
      </c>
      <c r="I40" s="212">
        <f>$I$37-ROUNDUP($I$37*0.2,0)</f>
        <v>21851</v>
      </c>
      <c r="J40" s="212">
        <f>$J$37-ROUNDUP($J$37*0.2,0)</f>
        <v>8436</v>
      </c>
      <c r="K40" s="212">
        <f>$K$37-ROUNDUP($K$37*0.2,0)</f>
        <v>4836</v>
      </c>
      <c r="L40" s="27"/>
      <c r="M40" s="29"/>
      <c r="N40" s="8"/>
      <c r="O40" s="8"/>
      <c r="P40" s="8"/>
      <c r="Q40" s="8"/>
      <c r="R40" s="12"/>
      <c r="S40" s="12"/>
      <c r="T40" s="12"/>
      <c r="U40" s="12"/>
      <c r="V40" s="321"/>
      <c r="W40" s="321"/>
      <c r="X40" s="321"/>
      <c r="Y40" s="321"/>
      <c r="Z40" s="321"/>
      <c r="AA40" s="321"/>
      <c r="AB40" s="321"/>
      <c r="AC40" s="321"/>
      <c r="AD40" s="321"/>
      <c r="AE40" s="321"/>
      <c r="AF40" s="321"/>
      <c r="AG40" s="321"/>
      <c r="AH40" s="321"/>
      <c r="AI40" s="321"/>
      <c r="AJ40" s="321"/>
      <c r="AK40" s="321"/>
      <c r="AL40" s="321"/>
      <c r="AM40" s="321"/>
      <c r="AN40" s="321"/>
      <c r="AO40" s="321"/>
    </row>
    <row r="41" spans="1:41">
      <c r="A41" s="247" t="s">
        <v>109</v>
      </c>
      <c r="B41" s="248" t="str">
        <f>VLOOKUP(J34,A37:B40,2,FALSE)</f>
        <v>均7減</v>
      </c>
      <c r="C41" s="286">
        <f>VLOOKUP(J34,A37:C40,3,FALSE)</f>
        <v>8346</v>
      </c>
      <c r="D41" s="286">
        <f>VLOOKUP(J34,A37:D40,4,FALSE)</f>
        <v>3222</v>
      </c>
      <c r="E41" s="286">
        <f>VLOOKUP(J34,A37:E40,5,FALSE)</f>
        <v>2416</v>
      </c>
      <c r="F41" s="27"/>
      <c r="G41" s="28">
        <v>0.5</v>
      </c>
      <c r="H41" s="214" t="s">
        <v>96</v>
      </c>
      <c r="I41" s="212">
        <f>$I$37-ROUNDDOWN($I$37/2,0)</f>
        <v>13657</v>
      </c>
      <c r="J41" s="212">
        <f>$J$37-ROUNDDOWN($J$37/2,0)</f>
        <v>5273</v>
      </c>
      <c r="K41" s="214" t="s">
        <v>114</v>
      </c>
      <c r="L41" s="27"/>
      <c r="M41" s="29"/>
      <c r="N41" s="8"/>
      <c r="O41" s="8"/>
      <c r="P41" s="8"/>
      <c r="Q41" s="8"/>
      <c r="R41" s="12"/>
      <c r="S41" s="12"/>
      <c r="T41" s="12"/>
      <c r="U41" s="12"/>
      <c r="V41" s="321"/>
      <c r="W41" s="321"/>
      <c r="X41" s="321"/>
      <c r="Y41" s="321"/>
      <c r="Z41" s="321"/>
      <c r="AA41" s="321"/>
      <c r="AB41" s="321"/>
      <c r="AC41" s="321"/>
      <c r="AD41" s="321"/>
      <c r="AE41" s="321"/>
      <c r="AF41" s="321"/>
      <c r="AG41" s="321"/>
      <c r="AH41" s="321"/>
      <c r="AI41" s="321"/>
      <c r="AJ41" s="321"/>
      <c r="AK41" s="321"/>
      <c r="AL41" s="321"/>
      <c r="AM41" s="321"/>
      <c r="AN41" s="321"/>
      <c r="AO41" s="321"/>
    </row>
    <row r="42" spans="1:41">
      <c r="A42" s="27"/>
      <c r="B42" s="38" t="s">
        <v>110</v>
      </c>
      <c r="C42" s="286">
        <f>IF(OR(J34=2,J34=0),C39,C41)</f>
        <v>8346</v>
      </c>
      <c r="D42" s="286">
        <f>IF(OR(J34=2,J34=0),D39,D41)</f>
        <v>3222</v>
      </c>
      <c r="E42" s="27"/>
      <c r="F42" s="27"/>
      <c r="G42" s="28">
        <v>7.5</v>
      </c>
      <c r="H42" s="214" t="s">
        <v>97</v>
      </c>
      <c r="I42" s="212">
        <f>$I$37-ROUNDDOWN($I$37/2,0)-ROUNDUP(($I$37-ROUNDDOWN($I$37/2,0))*0.7,0)</f>
        <v>4097</v>
      </c>
      <c r="J42" s="212">
        <f>$J$37-ROUNDDOWN($J$37/2,0)-ROUNDUP(($J$37-ROUNDDOWN($J$37/2,0))*0.7,0)</f>
        <v>1581</v>
      </c>
      <c r="K42" s="214" t="s">
        <v>114</v>
      </c>
      <c r="L42" s="27"/>
      <c r="M42" s="29"/>
      <c r="N42" s="8"/>
      <c r="O42" s="8"/>
      <c r="P42" s="8"/>
      <c r="Q42" s="8"/>
      <c r="R42" s="12"/>
      <c r="S42" s="12"/>
      <c r="T42" s="12"/>
      <c r="U42" s="12"/>
      <c r="V42" s="321"/>
      <c r="W42" s="321"/>
      <c r="X42" s="321"/>
      <c r="Y42" s="321"/>
      <c r="Z42" s="321"/>
      <c r="AA42" s="321"/>
      <c r="AB42" s="321"/>
      <c r="AC42" s="321"/>
      <c r="AD42" s="321"/>
      <c r="AE42" s="321"/>
      <c r="AF42" s="321"/>
      <c r="AG42" s="321"/>
      <c r="AH42" s="321"/>
      <c r="AI42" s="321"/>
      <c r="AJ42" s="321"/>
      <c r="AK42" s="321"/>
      <c r="AL42" s="321"/>
      <c r="AM42" s="321"/>
      <c r="AN42" s="321"/>
      <c r="AO42" s="321"/>
    </row>
    <row r="43" spans="1:41" ht="13.5" thickBot="1">
      <c r="A43" s="27"/>
      <c r="B43" s="27"/>
      <c r="C43" s="27"/>
      <c r="D43" s="27"/>
      <c r="E43" s="27"/>
      <c r="F43" s="27"/>
      <c r="G43" s="28">
        <v>5.5</v>
      </c>
      <c r="H43" s="214" t="s">
        <v>98</v>
      </c>
      <c r="I43" s="212">
        <f>$I$37-ROUNDDOWN($I$37/2,0)-ROUNDUP(($I$37-ROUNDDOWN($I$37/2,0))*0.5,0)</f>
        <v>6828</v>
      </c>
      <c r="J43" s="212">
        <f>$J$37-ROUNDDOWN($J$37/2,0)-ROUNDUP(($J$37-ROUNDDOWN($J$37/2,0))*0.5,0)</f>
        <v>2636</v>
      </c>
      <c r="K43" s="214" t="s">
        <v>114</v>
      </c>
      <c r="L43" s="27"/>
      <c r="M43" s="29"/>
      <c r="N43" s="8"/>
      <c r="O43" s="8"/>
      <c r="P43" s="8"/>
      <c r="Q43" s="8"/>
      <c r="R43" s="12"/>
      <c r="S43" s="12"/>
      <c r="T43" s="12"/>
      <c r="U43" s="12"/>
      <c r="V43" s="321"/>
      <c r="W43" s="321"/>
      <c r="X43" s="321"/>
      <c r="Y43" s="321"/>
      <c r="Z43" s="321"/>
      <c r="AA43" s="321"/>
      <c r="AB43" s="321"/>
      <c r="AC43" s="321"/>
      <c r="AD43" s="321"/>
      <c r="AE43" s="321"/>
      <c r="AF43" s="321"/>
      <c r="AG43" s="321"/>
      <c r="AH43" s="321"/>
      <c r="AI43" s="321"/>
      <c r="AJ43" s="321"/>
      <c r="AK43" s="321"/>
      <c r="AL43" s="321"/>
      <c r="AM43" s="321"/>
      <c r="AN43" s="321"/>
      <c r="AO43" s="321"/>
    </row>
    <row r="44" spans="1:41" ht="13.5" thickBot="1">
      <c r="A44" s="360" t="s">
        <v>220</v>
      </c>
      <c r="B44" s="386">
        <v>0</v>
      </c>
      <c r="C44" s="366" t="s">
        <v>228</v>
      </c>
      <c r="D44" s="27"/>
      <c r="E44" s="385" t="str">
        <f>IF(AND(B44&gt;0,E47=0),"未就学児いないぞ！","")</f>
        <v/>
      </c>
      <c r="F44" s="27"/>
      <c r="G44" s="28">
        <v>2.5</v>
      </c>
      <c r="H44" s="214" t="s">
        <v>99</v>
      </c>
      <c r="I44" s="212">
        <f>$I$37-ROUNDDOWN($I$37/2,0)-ROUNDUP(($I$37-ROUNDDOWN($I$37/2,0))*0.2,0)</f>
        <v>10925</v>
      </c>
      <c r="J44" s="212">
        <f>$J$37-ROUNDDOWN($J$37/2,0)-ROUNDUP(($J$37-ROUNDDOWN($J$37/2,0))*0.2,0)</f>
        <v>4218</v>
      </c>
      <c r="K44" s="214" t="s">
        <v>114</v>
      </c>
      <c r="L44" s="27"/>
      <c r="M44" s="29"/>
      <c r="N44" s="8"/>
      <c r="O44" s="8"/>
      <c r="P44" s="8"/>
      <c r="Q44" s="8"/>
      <c r="R44" s="12"/>
      <c r="S44" s="12"/>
      <c r="T44" s="12"/>
      <c r="U44" s="12"/>
      <c r="V44" s="321"/>
      <c r="W44" s="321"/>
      <c r="X44" s="321"/>
      <c r="Y44" s="321"/>
      <c r="Z44" s="321"/>
      <c r="AA44" s="321"/>
      <c r="AB44" s="321"/>
      <c r="AC44" s="321"/>
      <c r="AD44" s="321"/>
      <c r="AE44" s="321"/>
      <c r="AF44" s="321"/>
      <c r="AG44" s="321"/>
      <c r="AH44" s="321"/>
      <c r="AI44" s="321"/>
      <c r="AJ44" s="321"/>
      <c r="AK44" s="321"/>
      <c r="AL44" s="321"/>
      <c r="AM44" s="321"/>
      <c r="AN44" s="321"/>
      <c r="AO44" s="321"/>
    </row>
    <row r="45" spans="1:41">
      <c r="A45" s="39" t="s">
        <v>227</v>
      </c>
      <c r="B45" s="359" t="s">
        <v>221</v>
      </c>
      <c r="C45" s="361" t="s">
        <v>222</v>
      </c>
      <c r="D45" s="363" t="s">
        <v>223</v>
      </c>
      <c r="E45" s="363" t="s">
        <v>224</v>
      </c>
      <c r="F45" s="27"/>
      <c r="G45" s="28">
        <v>0.75</v>
      </c>
      <c r="H45" s="214" t="s">
        <v>100</v>
      </c>
      <c r="I45" s="212">
        <f>$I$37-ROUNDDOWN($I$37/4,0)</f>
        <v>20486</v>
      </c>
      <c r="J45" s="212">
        <f>$J$37-ROUNDDOWN($J$37/4,0)</f>
        <v>7909</v>
      </c>
      <c r="K45" s="214" t="s">
        <v>114</v>
      </c>
      <c r="L45" s="27"/>
      <c r="M45" s="29"/>
      <c r="N45" s="8"/>
      <c r="O45" s="8"/>
      <c r="P45" s="8"/>
      <c r="Q45" s="8"/>
      <c r="R45" s="12"/>
      <c r="S45" s="12"/>
      <c r="T45" s="12"/>
      <c r="U45" s="12"/>
      <c r="V45" s="321"/>
      <c r="W45" s="321"/>
      <c r="X45" s="321"/>
      <c r="Y45" s="321"/>
      <c r="Z45" s="321"/>
      <c r="AA45" s="321"/>
      <c r="AB45" s="321"/>
      <c r="AC45" s="321"/>
      <c r="AD45" s="321"/>
      <c r="AE45" s="321"/>
      <c r="AF45" s="321"/>
      <c r="AG45" s="321"/>
      <c r="AH45" s="321"/>
      <c r="AI45" s="321"/>
      <c r="AJ45" s="321"/>
      <c r="AK45" s="321"/>
      <c r="AL45" s="321"/>
      <c r="AM45" s="321"/>
      <c r="AN45" s="321"/>
      <c r="AO45" s="321"/>
    </row>
    <row r="46" spans="1:41">
      <c r="A46" s="355">
        <v>0</v>
      </c>
      <c r="B46" s="358">
        <f>ROUNDUP(C37*0.5,0)</f>
        <v>13910</v>
      </c>
      <c r="C46" s="299">
        <f>ROUNDUP(D37*0.5,0)</f>
        <v>5371</v>
      </c>
      <c r="D46" s="362">
        <f>VLOOKUP(J34,A46:B49,2,FALSE)</f>
        <v>4173</v>
      </c>
      <c r="E46" s="362">
        <f>VLOOKUP(J34,A46:C49,3,FALSE)</f>
        <v>1611</v>
      </c>
      <c r="F46" s="27"/>
      <c r="G46" s="28">
        <v>7.75</v>
      </c>
      <c r="H46" s="214" t="s">
        <v>101</v>
      </c>
      <c r="I46" s="212">
        <f>$I$37-ROUNDDOWN($I$37/4,0)-ROUNDUP(($I$37-ROUNDDOWN($I$37/4,0))*0.7,0)</f>
        <v>6145</v>
      </c>
      <c r="J46" s="212">
        <f>$J$37-ROUNDDOWN($J$37/4,0)-ROUNDUP(($J$37-ROUNDDOWN($J$37/4,0))*0.7,0)</f>
        <v>2372</v>
      </c>
      <c r="K46" s="214" t="s">
        <v>114</v>
      </c>
      <c r="L46" s="27"/>
      <c r="M46" s="29"/>
      <c r="N46" s="8"/>
      <c r="O46" s="8"/>
      <c r="P46" s="8"/>
      <c r="Q46" s="8"/>
      <c r="R46" s="12"/>
      <c r="S46" s="12"/>
      <c r="T46" s="12"/>
      <c r="U46" s="12"/>
      <c r="V46" s="321"/>
      <c r="W46" s="321"/>
      <c r="X46" s="321"/>
      <c r="Y46" s="321"/>
      <c r="Z46" s="321"/>
      <c r="AA46" s="321"/>
      <c r="AB46" s="321"/>
      <c r="AC46" s="321"/>
      <c r="AD46" s="321"/>
      <c r="AE46" s="321"/>
      <c r="AF46" s="321"/>
      <c r="AG46" s="321"/>
      <c r="AH46" s="321"/>
      <c r="AI46" s="321"/>
      <c r="AJ46" s="321"/>
      <c r="AK46" s="321"/>
      <c r="AL46" s="321"/>
      <c r="AM46" s="321"/>
      <c r="AN46" s="321"/>
      <c r="AO46" s="321"/>
    </row>
    <row r="47" spans="1:41">
      <c r="A47" s="355">
        <v>7</v>
      </c>
      <c r="B47" s="358">
        <f t="shared" ref="B47:C49" si="9">ROUNDUP(C38*0.5,0)</f>
        <v>4173</v>
      </c>
      <c r="C47" s="358">
        <f t="shared" si="9"/>
        <v>1611</v>
      </c>
      <c r="D47" s="364"/>
      <c r="E47" s="365">
        <f>COUNTIF(B11:B16,2)</f>
        <v>0</v>
      </c>
      <c r="F47" s="27"/>
      <c r="G47" s="28">
        <v>5.75</v>
      </c>
      <c r="H47" s="214" t="s">
        <v>102</v>
      </c>
      <c r="I47" s="212">
        <f>$I$37-ROUNDDOWN($I$37/4,0)-ROUNDUP(($I$37-ROUNDDOWN($I$37/4,0))*0.5,0)</f>
        <v>10243</v>
      </c>
      <c r="J47" s="212">
        <f>$J$37-ROUNDDOWN($J$37/4,0)-ROUNDUP(($J$37-ROUNDDOWN($J$37/4,0))*0.5,0)</f>
        <v>3954</v>
      </c>
      <c r="K47" s="214" t="s">
        <v>114</v>
      </c>
      <c r="L47" s="27"/>
      <c r="M47" s="29"/>
      <c r="N47" s="8"/>
      <c r="O47" s="8"/>
      <c r="P47" s="8"/>
      <c r="Q47" s="8"/>
      <c r="R47" s="12"/>
      <c r="S47" s="12"/>
      <c r="T47" s="12"/>
      <c r="U47" s="12"/>
      <c r="V47" s="321"/>
      <c r="W47" s="321"/>
      <c r="X47" s="321"/>
      <c r="Y47" s="321"/>
      <c r="Z47" s="321"/>
      <c r="AA47" s="321"/>
      <c r="AB47" s="321"/>
      <c r="AC47" s="321"/>
      <c r="AD47" s="321"/>
      <c r="AE47" s="321"/>
      <c r="AF47" s="321"/>
      <c r="AG47" s="321"/>
      <c r="AH47" s="321"/>
      <c r="AI47" s="321"/>
      <c r="AJ47" s="321"/>
      <c r="AK47" s="321"/>
      <c r="AL47" s="321"/>
      <c r="AM47" s="321"/>
      <c r="AN47" s="321"/>
      <c r="AO47" s="321"/>
    </row>
    <row r="48" spans="1:41">
      <c r="A48" s="355">
        <v>5</v>
      </c>
      <c r="B48" s="358">
        <f t="shared" si="9"/>
        <v>6955</v>
      </c>
      <c r="C48" s="299">
        <f t="shared" si="9"/>
        <v>2685</v>
      </c>
      <c r="D48" s="363" t="s">
        <v>225</v>
      </c>
      <c r="E48" s="363" t="s">
        <v>226</v>
      </c>
      <c r="F48" s="27"/>
      <c r="G48" s="28">
        <v>2.75</v>
      </c>
      <c r="H48" s="215" t="s">
        <v>103</v>
      </c>
      <c r="I48" s="213">
        <f>$I$37-ROUNDDOWN($I$37/4,0)-ROUNDUP(($I$37-ROUNDDOWN($I$37/4,0))*0.2,0)</f>
        <v>16388</v>
      </c>
      <c r="J48" s="213">
        <f>$J$37-ROUNDDOWN($J$37/4,0)-ROUNDUP(($J$37-ROUNDDOWN($J$37/4,0))*0.2,0)</f>
        <v>6327</v>
      </c>
      <c r="K48" s="215" t="s">
        <v>114</v>
      </c>
      <c r="L48" s="27"/>
      <c r="M48" s="29"/>
      <c r="N48" s="8"/>
      <c r="O48" s="8"/>
      <c r="P48" s="8"/>
      <c r="Q48" s="8"/>
      <c r="R48" s="12"/>
      <c r="S48" s="12"/>
      <c r="T48" s="12"/>
      <c r="U48" s="12"/>
      <c r="V48" s="321"/>
      <c r="W48" s="321"/>
      <c r="X48" s="321"/>
      <c r="Y48" s="321"/>
      <c r="Z48" s="321"/>
      <c r="AA48" s="321"/>
      <c r="AB48" s="321"/>
      <c r="AC48" s="321"/>
      <c r="AD48" s="321"/>
      <c r="AE48" s="321"/>
      <c r="AF48" s="321"/>
      <c r="AG48" s="321"/>
      <c r="AH48" s="321"/>
      <c r="AI48" s="321"/>
      <c r="AJ48" s="321"/>
      <c r="AK48" s="321"/>
      <c r="AL48" s="321"/>
      <c r="AM48" s="321"/>
      <c r="AN48" s="321"/>
      <c r="AO48" s="321"/>
    </row>
    <row r="49" spans="1:43" s="354" customFormat="1">
      <c r="A49" s="355">
        <v>2</v>
      </c>
      <c r="B49" s="358">
        <f t="shared" si="9"/>
        <v>11128</v>
      </c>
      <c r="C49" s="299">
        <f t="shared" si="9"/>
        <v>4296</v>
      </c>
      <c r="D49" s="362">
        <f>B44*D46</f>
        <v>0</v>
      </c>
      <c r="E49" s="362">
        <f>B44*E46</f>
        <v>0</v>
      </c>
      <c r="F49" s="27"/>
      <c r="G49" s="29"/>
      <c r="H49" s="357"/>
      <c r="I49" s="216"/>
      <c r="J49" s="216"/>
      <c r="K49" s="357"/>
      <c r="L49" s="27"/>
      <c r="M49" s="29"/>
      <c r="N49" s="8"/>
      <c r="O49" s="8"/>
      <c r="P49" s="8"/>
      <c r="Q49" s="8"/>
      <c r="R49" s="12"/>
      <c r="S49" s="12"/>
      <c r="T49" s="12"/>
      <c r="U49" s="12"/>
      <c r="V49" s="321"/>
      <c r="W49" s="321"/>
      <c r="X49" s="321"/>
      <c r="Y49" s="321"/>
      <c r="Z49" s="321"/>
      <c r="AA49" s="321"/>
      <c r="AB49" s="321"/>
      <c r="AC49" s="321"/>
      <c r="AD49" s="321"/>
      <c r="AE49" s="321"/>
      <c r="AF49" s="321"/>
      <c r="AG49" s="321"/>
      <c r="AH49" s="321"/>
      <c r="AI49" s="321"/>
      <c r="AJ49" s="321"/>
      <c r="AK49" s="321"/>
      <c r="AL49" s="321"/>
      <c r="AM49" s="321"/>
      <c r="AN49" s="321"/>
      <c r="AO49" s="321"/>
    </row>
    <row r="50" spans="1:43">
      <c r="A50" s="27"/>
      <c r="B50" s="27"/>
      <c r="C50" s="27"/>
      <c r="D50" s="27"/>
      <c r="E50" s="27"/>
      <c r="F50" s="27"/>
      <c r="G50" s="29"/>
      <c r="H50" s="29"/>
      <c r="I50" s="216"/>
      <c r="J50" s="216"/>
      <c r="K50" s="29"/>
      <c r="L50" s="222"/>
      <c r="M50" s="222"/>
      <c r="N50" s="223"/>
      <c r="O50" s="223"/>
      <c r="P50" s="223"/>
      <c r="Q50" s="8"/>
      <c r="R50" s="12"/>
      <c r="S50" s="12"/>
      <c r="T50" s="12"/>
      <c r="U50" s="12"/>
      <c r="V50" s="321"/>
      <c r="W50" s="321"/>
      <c r="X50" s="321"/>
      <c r="Y50" s="321"/>
      <c r="Z50" s="321"/>
      <c r="AA50" s="321"/>
      <c r="AB50" s="321"/>
      <c r="AC50" s="321"/>
      <c r="AD50" s="321"/>
      <c r="AE50" s="321"/>
      <c r="AF50" s="321"/>
      <c r="AG50" s="321"/>
      <c r="AH50" s="321"/>
      <c r="AI50" s="321"/>
      <c r="AJ50" s="321"/>
      <c r="AK50" s="321"/>
      <c r="AL50" s="321"/>
      <c r="AM50" s="321"/>
      <c r="AN50" s="321"/>
      <c r="AO50" s="321"/>
    </row>
    <row r="51" spans="1:43" ht="13.5" thickBot="1">
      <c r="A51" s="35"/>
      <c r="B51" s="35" t="s">
        <v>60</v>
      </c>
      <c r="C51" s="35"/>
      <c r="D51" s="35" t="s">
        <v>126</v>
      </c>
      <c r="E51" s="35"/>
      <c r="F51" s="35"/>
      <c r="G51" s="35"/>
      <c r="H51" s="35"/>
      <c r="I51" s="35"/>
      <c r="J51" s="35"/>
      <c r="K51" s="35"/>
      <c r="L51" s="29"/>
      <c r="M51" s="29"/>
      <c r="N51" s="8"/>
      <c r="O51" s="8"/>
      <c r="P51" s="8"/>
      <c r="Q51" s="8"/>
      <c r="R51" s="12"/>
      <c r="S51" s="12"/>
      <c r="T51" s="12"/>
      <c r="U51" s="12"/>
      <c r="V51" s="321"/>
      <c r="W51" s="321"/>
      <c r="X51" s="321"/>
      <c r="Y51" s="321"/>
      <c r="Z51" s="321"/>
      <c r="AA51" s="321"/>
      <c r="AB51" s="321"/>
      <c r="AC51" s="321"/>
      <c r="AD51" s="321"/>
      <c r="AE51" s="321"/>
      <c r="AF51" s="321"/>
      <c r="AG51" s="321"/>
      <c r="AH51" s="321"/>
      <c r="AI51" s="321"/>
      <c r="AJ51" s="321"/>
      <c r="AK51" s="321"/>
      <c r="AL51" s="321"/>
      <c r="AM51" s="321"/>
      <c r="AN51" s="321"/>
      <c r="AO51" s="321"/>
    </row>
    <row r="52" spans="1:43" ht="28.5">
      <c r="A52" s="27"/>
      <c r="B52" s="180" t="s">
        <v>57</v>
      </c>
      <c r="C52" s="225" t="s">
        <v>209</v>
      </c>
      <c r="D52" s="225" t="s">
        <v>212</v>
      </c>
      <c r="E52" s="229" t="s">
        <v>159</v>
      </c>
      <c r="F52" s="230" t="s">
        <v>161</v>
      </c>
      <c r="G52" s="225" t="s">
        <v>160</v>
      </c>
      <c r="H52" s="225" t="s">
        <v>211</v>
      </c>
      <c r="I52" s="231" t="s">
        <v>162</v>
      </c>
      <c r="J52" s="230" t="s">
        <v>208</v>
      </c>
      <c r="K52" s="179" t="s">
        <v>59</v>
      </c>
      <c r="L52" s="181" t="s">
        <v>71</v>
      </c>
      <c r="M52" s="181" t="s">
        <v>33</v>
      </c>
      <c r="N52" s="181" t="s">
        <v>34</v>
      </c>
      <c r="O52" s="181" t="s">
        <v>35</v>
      </c>
      <c r="P52" s="181" t="s">
        <v>36</v>
      </c>
      <c r="Q52" s="181" t="s">
        <v>37</v>
      </c>
      <c r="R52" s="244" t="s">
        <v>198</v>
      </c>
      <c r="S52" s="27"/>
      <c r="T52" s="29"/>
      <c r="U52" s="8"/>
      <c r="V52" s="8"/>
      <c r="W52" s="8"/>
      <c r="X52" s="321"/>
      <c r="Y52" s="321"/>
      <c r="Z52" s="321"/>
      <c r="AA52" s="321"/>
      <c r="AB52" s="321"/>
      <c r="AC52" s="321"/>
      <c r="AD52" s="321"/>
      <c r="AE52" s="321"/>
      <c r="AF52" s="321"/>
      <c r="AG52" s="321"/>
      <c r="AH52" s="321"/>
      <c r="AI52" s="321"/>
      <c r="AJ52" s="321"/>
      <c r="AK52" s="321"/>
      <c r="AL52" s="321"/>
      <c r="AM52" s="321"/>
      <c r="AN52" s="321"/>
      <c r="AO52" s="321"/>
      <c r="AP52" s="321"/>
      <c r="AQ52" s="321"/>
    </row>
    <row r="53" spans="1:43">
      <c r="A53" s="181" t="s">
        <v>32</v>
      </c>
      <c r="B53" s="182">
        <f t="shared" ref="B53:B58" si="10">L11</f>
        <v>0</v>
      </c>
      <c r="C53" s="226">
        <f>IF($I$53=0,$J$53-$F$53-G53,$I$53)</f>
        <v>0</v>
      </c>
      <c r="D53" s="342">
        <f>IF($I53=0,$J53-$F53-H53,$I53)</f>
        <v>0</v>
      </c>
      <c r="E53" s="333" t="b">
        <v>0</v>
      </c>
      <c r="F53" s="219">
        <f t="shared" ref="F53:F58" si="11">IF(B53&lt;&gt;0,IF(E53=TRUE,IF(B53&gt;8500000,(IF(B53&gt;10^7,10^7,B53)-8500000)*0.1),0),0)</f>
        <v>0</v>
      </c>
      <c r="G53" s="226">
        <f>IF(AND($J$53-$F$53&gt;0,C71&gt;0,$J$53-$F$53+C71&gt;10^5),IF($J$53-$F$53&gt;10^5,10^5,$J$53-$F$53)+IF(C71&gt;10^5,10^5,C71)-100000,0)</f>
        <v>0</v>
      </c>
      <c r="H53" s="342">
        <f>IF(AND($J53-$F53&gt;0,B76&gt;0,$J53-$F53+B76&gt;10^5),IF($J53-$F53&gt;10^5,10^5,$J53-$F53)+IF(B76&gt;10^5,10^5,B76)-100000,0)</f>
        <v>0</v>
      </c>
      <c r="I53" s="330">
        <v>0</v>
      </c>
      <c r="J53" s="72">
        <f>IF(C11=TRUE,ROUNDDOWN(VLOOKUP(B53,$K$53:L$63,2,TRUE)*0.3,0),VLOOKUP(B53,$K$53:L$63,2,TRUE))</f>
        <v>0</v>
      </c>
      <c r="K53" s="31">
        <v>0</v>
      </c>
      <c r="L53" s="75">
        <f>IF($B$53&lt;$K$54,0,"-")</f>
        <v>0</v>
      </c>
      <c r="M53" s="75">
        <f>IF($B$54&lt;$K$54,0,"-")</f>
        <v>0</v>
      </c>
      <c r="N53" s="75">
        <f>IF($B$55&lt;$K$54,0,"-")</f>
        <v>0</v>
      </c>
      <c r="O53" s="75">
        <f>IF($B$56&lt;$K$54,0,"-")</f>
        <v>0</v>
      </c>
      <c r="P53" s="75">
        <f>IF($B$57&lt;$K$54,0,"-")</f>
        <v>0</v>
      </c>
      <c r="Q53" s="75">
        <f>IF($B$58&lt;$K$54,0,"-")</f>
        <v>0</v>
      </c>
      <c r="R53" s="185">
        <f t="shared" ref="R53:R58" si="12">IF(B53&gt;550000,1,0)</f>
        <v>0</v>
      </c>
      <c r="S53" s="27"/>
      <c r="T53" s="27"/>
      <c r="U53" s="12"/>
      <c r="V53" s="12"/>
      <c r="W53" s="12"/>
      <c r="X53" s="321"/>
      <c r="Y53" s="321"/>
      <c r="Z53" s="321"/>
      <c r="AA53" s="321"/>
      <c r="AB53" s="321"/>
      <c r="AC53" s="321"/>
      <c r="AD53" s="321"/>
      <c r="AE53" s="321"/>
      <c r="AF53" s="321"/>
      <c r="AG53" s="321"/>
      <c r="AH53" s="321"/>
      <c r="AI53" s="321"/>
      <c r="AJ53" s="321"/>
      <c r="AK53" s="321"/>
      <c r="AL53" s="321"/>
      <c r="AM53" s="321"/>
      <c r="AN53" s="321"/>
      <c r="AO53" s="321"/>
      <c r="AP53" s="321"/>
      <c r="AQ53" s="321"/>
    </row>
    <row r="54" spans="1:43">
      <c r="A54" s="181" t="s">
        <v>33</v>
      </c>
      <c r="B54" s="183">
        <f t="shared" si="10"/>
        <v>0</v>
      </c>
      <c r="C54" s="227">
        <f>IF(I54=0,J54-F54-G54,I54)</f>
        <v>0</v>
      </c>
      <c r="D54" s="343">
        <f>IF($I54=0,$J54-$F54-H54,$I54)</f>
        <v>0</v>
      </c>
      <c r="E54" s="333" t="b">
        <v>0</v>
      </c>
      <c r="F54" s="220">
        <f t="shared" si="11"/>
        <v>0</v>
      </c>
      <c r="G54" s="227">
        <f>IF(AND(J54-F54&gt;0,C80&gt;0,J54-F54+C80&gt;10^5),IF(J54-F54&gt;10^5,10^5,J54-F54)+IF(C80&gt;10^5,10^5,C80)-100000,0)</f>
        <v>0</v>
      </c>
      <c r="H54" s="343">
        <f>IF(AND($J54-$F54&gt;0,B85&gt;0,$J54-$F54+B85&gt;10^5),IF($J54-$F54&gt;10^5,10^5,$J54-$F54)+IF(B85&gt;10^5,10^5,B85)-100000,0)</f>
        <v>0</v>
      </c>
      <c r="I54" s="331">
        <v>0</v>
      </c>
      <c r="J54" s="73">
        <f>IF(C12=TRUE,ROUNDDOWN(VLOOKUP(B54,$K$53:M$63,3,TRUE)*0.3,0),VLOOKUP(B54,$K$53:M$63,3,TRUE))</f>
        <v>0</v>
      </c>
      <c r="K54" s="32">
        <v>551000</v>
      </c>
      <c r="L54" s="76" t="str">
        <f>IF(AND($B53&gt;=$K54,$B53&lt;$K55),$B53-550000,"-")</f>
        <v>-</v>
      </c>
      <c r="M54" s="76" t="str">
        <f>IF(AND($B54&gt;=$K54,$B54&lt;$K55),$B54-550000,"-")</f>
        <v>-</v>
      </c>
      <c r="N54" s="76" t="str">
        <f>IF(AND($B55&gt;=$K54,$B55&lt;$K55),$B55-550000,"-")</f>
        <v>-</v>
      </c>
      <c r="O54" s="76" t="str">
        <f>IF(AND($B56&gt;=$K54,$B56&lt;$K55),$B56-550000,"-")</f>
        <v>-</v>
      </c>
      <c r="P54" s="76" t="str">
        <f>IF(AND($B57&gt;=$K54,$B57&lt;$K55),$B57-550000,"-")</f>
        <v>-</v>
      </c>
      <c r="Q54" s="76" t="str">
        <f>IF(AND($B58&gt;=$K54,$B58&lt;$K55),$B58-550000,"-")</f>
        <v>-</v>
      </c>
      <c r="R54" s="186">
        <f t="shared" si="12"/>
        <v>0</v>
      </c>
      <c r="S54" s="27"/>
      <c r="T54" s="27"/>
      <c r="U54" s="12"/>
      <c r="V54" s="12"/>
      <c r="W54" s="12"/>
      <c r="X54" s="321"/>
      <c r="Y54" s="321"/>
      <c r="Z54" s="321"/>
      <c r="AA54" s="321"/>
      <c r="AB54" s="321"/>
      <c r="AC54" s="321"/>
      <c r="AD54" s="321"/>
      <c r="AE54" s="321"/>
      <c r="AF54" s="321"/>
      <c r="AG54" s="321"/>
      <c r="AH54" s="321"/>
      <c r="AI54" s="321"/>
      <c r="AJ54" s="321"/>
      <c r="AK54" s="321"/>
      <c r="AL54" s="321"/>
      <c r="AM54" s="321"/>
      <c r="AN54" s="321"/>
      <c r="AO54" s="321"/>
      <c r="AP54" s="321"/>
      <c r="AQ54" s="321"/>
    </row>
    <row r="55" spans="1:43">
      <c r="A55" s="181" t="s">
        <v>34</v>
      </c>
      <c r="B55" s="183">
        <f t="shared" si="10"/>
        <v>0</v>
      </c>
      <c r="C55" s="227">
        <f>IF(I55=0,J55-F55-G55,I55)</f>
        <v>0</v>
      </c>
      <c r="D55" s="343">
        <f t="shared" ref="D55:D57" si="13">IF($I55=0,$J55-$F55-H55,$I55)</f>
        <v>0</v>
      </c>
      <c r="E55" s="333" t="b">
        <v>0</v>
      </c>
      <c r="F55" s="220">
        <f t="shared" si="11"/>
        <v>0</v>
      </c>
      <c r="G55" s="227">
        <f>IF(AND(J55-F55&gt;0,C89&gt;0,J55-F55+C89&gt;10^5),IF(J55-F55&gt;10^5,10^5,J55-F55)+IF(C89&gt;10^5,10^5,C89)-100000,0)</f>
        <v>0</v>
      </c>
      <c r="H55" s="343">
        <f>IF(AND($J55-$F55&gt;0,B94&gt;0,$J55-$F55+B94&gt;10^5),IF($J55-$F55&gt;10^5,10^5,$J55-$F55)+IF(B94&gt;10^5,10^5,B94)-100000,0)</f>
        <v>0</v>
      </c>
      <c r="I55" s="331">
        <v>0</v>
      </c>
      <c r="J55" s="73">
        <f>IF(C13=TRUE,ROUNDDOWN(VLOOKUP(B55,$K$53:N$63,4,TRUE)*0.3,0),VLOOKUP(B55,$K$53:N$63,4,TRUE))</f>
        <v>0</v>
      </c>
      <c r="K55" s="32">
        <v>1619000</v>
      </c>
      <c r="L55" s="76" t="str">
        <f>IF(AND($B$53&gt;=$K55,$B$53&lt;$K56),1069000,"-")</f>
        <v>-</v>
      </c>
      <c r="M55" s="76" t="str">
        <f>IF(AND($B$54&gt;=$K55,$B$54&lt;$K56),1069000,"-")</f>
        <v>-</v>
      </c>
      <c r="N55" s="76" t="str">
        <f>IF(AND($B$55&gt;=$K55,$B$55&lt;$K56),1069000,"-")</f>
        <v>-</v>
      </c>
      <c r="O55" s="76" t="str">
        <f>IF(AND($B$56&gt;=$K55,$B$56&lt;$K56),1069000,"-")</f>
        <v>-</v>
      </c>
      <c r="P55" s="76" t="str">
        <f>IF(AND($B$57&gt;=$K55,$B$57&lt;$K56),1069000,"-")</f>
        <v>-</v>
      </c>
      <c r="Q55" s="76" t="str">
        <f>IF(AND($B$58&gt;=$K55,$B$58&lt;$K56),1069000,"-")</f>
        <v>-</v>
      </c>
      <c r="R55" s="186">
        <f t="shared" si="12"/>
        <v>0</v>
      </c>
      <c r="S55" s="27"/>
      <c r="T55" s="27"/>
      <c r="U55" s="12"/>
      <c r="V55" s="12"/>
      <c r="W55" s="12"/>
      <c r="X55" s="321"/>
      <c r="Y55" s="321"/>
      <c r="Z55" s="321"/>
      <c r="AA55" s="321"/>
      <c r="AB55" s="321"/>
      <c r="AC55" s="321"/>
      <c r="AD55" s="321"/>
      <c r="AE55" s="321"/>
      <c r="AF55" s="321"/>
      <c r="AG55" s="321"/>
      <c r="AH55" s="321"/>
      <c r="AI55" s="321"/>
      <c r="AJ55" s="321"/>
      <c r="AK55" s="321"/>
      <c r="AL55" s="321"/>
      <c r="AM55" s="321"/>
      <c r="AN55" s="321"/>
      <c r="AO55" s="321"/>
      <c r="AP55" s="321"/>
      <c r="AQ55" s="321"/>
    </row>
    <row r="56" spans="1:43">
      <c r="A56" s="181" t="s">
        <v>35</v>
      </c>
      <c r="B56" s="183">
        <f t="shared" si="10"/>
        <v>0</v>
      </c>
      <c r="C56" s="227">
        <f>IF(I56=0,J56-F56-G56,I56)</f>
        <v>0</v>
      </c>
      <c r="D56" s="343">
        <f t="shared" si="13"/>
        <v>0</v>
      </c>
      <c r="E56" s="333" t="b">
        <v>0</v>
      </c>
      <c r="F56" s="220">
        <f t="shared" si="11"/>
        <v>0</v>
      </c>
      <c r="G56" s="227">
        <f>IF(AND(J56-F56&gt;0,C98&gt;0,J56-F56+C98&gt;10^5),IF(J56-F56&gt;10^5,10^5,J56-F56)+IF(C98&gt;10^5,10^5,C98)-100000,0)</f>
        <v>0</v>
      </c>
      <c r="H56" s="343">
        <f>IF(AND($J56-$F56&gt;0,B103&gt;0,$J56-$F56+B103&gt;10^5),IF($J56-$F56&gt;10^5,10^5,$J56-$F56)+IF(B103&gt;10^5,10^5,B103)-100000,0)</f>
        <v>0</v>
      </c>
      <c r="I56" s="331">
        <v>0</v>
      </c>
      <c r="J56" s="73">
        <f>IF(C14=TRUE,ROUNDDOWN(VLOOKUP(B56,$K$53:O$63,5,TRUE)*0.3,0),VLOOKUP(B56,$K$53:O$63,5,TRUE))</f>
        <v>0</v>
      </c>
      <c r="K56" s="32">
        <v>1620000</v>
      </c>
      <c r="L56" s="76" t="str">
        <f>IF(AND($B$53&gt;=$K56,$B$53&lt;$K57),1070000,"-")</f>
        <v>-</v>
      </c>
      <c r="M56" s="76" t="str">
        <f>IF(AND($B$54&gt;=$K56,$B$54&lt;$K57),1070000,"-")</f>
        <v>-</v>
      </c>
      <c r="N56" s="76" t="str">
        <f>IF(AND($B$55&gt;=$K56,$B$55&lt;$K57),1070000,"-")</f>
        <v>-</v>
      </c>
      <c r="O56" s="76" t="str">
        <f>IF(AND($B$56&gt;=$K56,$B$56&lt;$K57),1070000,"-")</f>
        <v>-</v>
      </c>
      <c r="P56" s="76" t="str">
        <f>IF(AND($B$57&gt;=$K56,$B$57&lt;$K57),1070000,"-")</f>
        <v>-</v>
      </c>
      <c r="Q56" s="76" t="str">
        <f>IF(AND($B$58&gt;=$K56,$B$58&lt;$K57),1070000,"-")</f>
        <v>-</v>
      </c>
      <c r="R56" s="186">
        <f t="shared" si="12"/>
        <v>0</v>
      </c>
      <c r="S56" s="27"/>
      <c r="T56" s="27"/>
      <c r="U56" s="12"/>
      <c r="V56" s="12"/>
      <c r="W56" s="12"/>
      <c r="X56" s="321"/>
      <c r="Y56" s="321"/>
      <c r="Z56" s="321"/>
      <c r="AA56" s="321"/>
      <c r="AB56" s="321"/>
      <c r="AC56" s="321"/>
      <c r="AD56" s="321"/>
      <c r="AE56" s="321"/>
      <c r="AF56" s="321"/>
      <c r="AG56" s="321"/>
      <c r="AH56" s="321"/>
      <c r="AI56" s="321"/>
      <c r="AJ56" s="321"/>
      <c r="AK56" s="321"/>
      <c r="AL56" s="321"/>
      <c r="AM56" s="321"/>
      <c r="AN56" s="321"/>
      <c r="AO56" s="321"/>
      <c r="AP56" s="321"/>
      <c r="AQ56" s="321"/>
    </row>
    <row r="57" spans="1:43">
      <c r="A57" s="181" t="s">
        <v>36</v>
      </c>
      <c r="B57" s="183">
        <f t="shared" si="10"/>
        <v>0</v>
      </c>
      <c r="C57" s="227">
        <f>IF(I57=0,J57-F57-G57,I57)</f>
        <v>0</v>
      </c>
      <c r="D57" s="343">
        <f t="shared" si="13"/>
        <v>0</v>
      </c>
      <c r="E57" s="333" t="b">
        <v>0</v>
      </c>
      <c r="F57" s="220">
        <f t="shared" si="11"/>
        <v>0</v>
      </c>
      <c r="G57" s="227">
        <f>IF(AND(J57-F57&gt;0,C107&gt;0,J57-F57+C107&gt;10^5),IF(J57-F57&gt;10^5,10^5,J57-F57)+IF(C107&gt;10^5,10^5,C107)-100000,0)</f>
        <v>0</v>
      </c>
      <c r="H57" s="343">
        <f>IF(AND($J57-$F57&gt;0,B112&gt;0,$J57-$F57+B112&gt;10^5),IF($J57-$F57&gt;10^5,10^5,$J57-$F57)+IF(B112&gt;10^5,10^5,B112)-100000,0)</f>
        <v>0</v>
      </c>
      <c r="I57" s="331">
        <v>0</v>
      </c>
      <c r="J57" s="73">
        <f>IF(C15=TRUE,ROUNDDOWN(VLOOKUP(B57,$K$53:P$63,6,TRUE)*0.3,0),VLOOKUP(B57,$K$53:P$63,6,TRUE))</f>
        <v>0</v>
      </c>
      <c r="K57" s="32">
        <v>1622000</v>
      </c>
      <c r="L57" s="76" t="str">
        <f>IF(AND($B$53&gt;=$K57,$B$53&lt;$K58),1072000,"-")</f>
        <v>-</v>
      </c>
      <c r="M57" s="76" t="str">
        <f>IF(AND($B$54&gt;=$K57,$B$54&lt;$K58),1072000,"-")</f>
        <v>-</v>
      </c>
      <c r="N57" s="76" t="str">
        <f>IF(AND($B$55&gt;=$K57,$B$55&lt;$K58),1072000,"-")</f>
        <v>-</v>
      </c>
      <c r="O57" s="76" t="str">
        <f>IF(AND($B$56&gt;=$K57,$B$56&lt;$K58),1072000,"-")</f>
        <v>-</v>
      </c>
      <c r="P57" s="76" t="str">
        <f>IF(AND($B$57&gt;=$K57,$B$57&lt;$K58),1072000,"-")</f>
        <v>-</v>
      </c>
      <c r="Q57" s="76" t="str">
        <f>IF(AND($B$58&gt;=$K57,$B$58&lt;$K58),1072000,"-")</f>
        <v>-</v>
      </c>
      <c r="R57" s="186">
        <f t="shared" si="12"/>
        <v>0</v>
      </c>
      <c r="S57" s="27"/>
      <c r="T57" s="27"/>
      <c r="U57" s="12"/>
      <c r="V57" s="12"/>
      <c r="W57" s="12"/>
      <c r="X57" s="321"/>
      <c r="Y57" s="321"/>
      <c r="Z57" s="321"/>
      <c r="AA57" s="321"/>
      <c r="AB57" s="321"/>
      <c r="AC57" s="321"/>
      <c r="AD57" s="321"/>
      <c r="AE57" s="321"/>
      <c r="AF57" s="321"/>
      <c r="AG57" s="321"/>
      <c r="AH57" s="321"/>
      <c r="AI57" s="321"/>
      <c r="AJ57" s="321"/>
      <c r="AK57" s="321"/>
      <c r="AL57" s="321"/>
      <c r="AM57" s="321"/>
      <c r="AN57" s="321"/>
      <c r="AO57" s="321"/>
      <c r="AP57" s="321"/>
      <c r="AQ57" s="321"/>
    </row>
    <row r="58" spans="1:43" ht="13.5" thickBot="1">
      <c r="A58" s="181" t="s">
        <v>37</v>
      </c>
      <c r="B58" s="184">
        <f t="shared" si="10"/>
        <v>0</v>
      </c>
      <c r="C58" s="228">
        <f>IF(I58=0,J58-F58-G58,I58)</f>
        <v>0</v>
      </c>
      <c r="D58" s="344">
        <f>IF($I58=0,$J58-$F58-H58,$I58)</f>
        <v>0</v>
      </c>
      <c r="E58" s="334" t="b">
        <v>0</v>
      </c>
      <c r="F58" s="221">
        <f t="shared" si="11"/>
        <v>0</v>
      </c>
      <c r="G58" s="228">
        <f>IF(AND(J58-F58&gt;0,C116&gt;0,J58-F58+C116&gt;10^5),IF(J58-F58&gt;10^5,10^5,J58-F58)+IF(C116&gt;10^5,10^5,C116)-100000,0)</f>
        <v>0</v>
      </c>
      <c r="H58" s="344">
        <f>IF(AND($J58-$F58&gt;0,B121&gt;0,$J58-$F58+B121&gt;10^5),IF($J58-$F58&gt;10^5,10^5,$J58-$F58)+IF(B121&gt;10^5,10^5,B121)-100000,0)</f>
        <v>0</v>
      </c>
      <c r="I58" s="332">
        <v>0</v>
      </c>
      <c r="J58" s="74">
        <f>IF(C16=TRUE,ROUNDDOWN(VLOOKUP(B58,$K$53:Q$63,7,TRUE)*0.3,0),VLOOKUP(B58,$K$53:Q$63,7,TRUE))</f>
        <v>0</v>
      </c>
      <c r="K58" s="32">
        <v>1624000</v>
      </c>
      <c r="L58" s="76" t="str">
        <f>IF(AND($B$53&gt;=$K58,$B$53&lt;$K59),1074000,"-")</f>
        <v>-</v>
      </c>
      <c r="M58" s="76" t="str">
        <f>IF(AND($B$54&gt;=$K58,$B$54&lt;$K59),1074000,"-")</f>
        <v>-</v>
      </c>
      <c r="N58" s="76" t="str">
        <f>IF(AND($B$55&gt;=$K58,$B$55&lt;$K59),1074000,"-")</f>
        <v>-</v>
      </c>
      <c r="O58" s="76" t="str">
        <f>IF(AND($B$56&gt;=$K58,$B$56&lt;$K59),1074000,"-")</f>
        <v>-</v>
      </c>
      <c r="P58" s="76" t="str">
        <f>IF(AND($B$57&gt;=$K58,$B$57&lt;$K59),1074000,"-")</f>
        <v>-</v>
      </c>
      <c r="Q58" s="76" t="str">
        <f>IF(AND($B$58&gt;=$K58,$B$58&lt;$K59),1074000,"-")</f>
        <v>-</v>
      </c>
      <c r="R58" s="187">
        <f t="shared" si="12"/>
        <v>0</v>
      </c>
      <c r="S58" s="27"/>
      <c r="T58" s="27"/>
      <c r="U58" s="12"/>
      <c r="V58" s="12"/>
      <c r="W58" s="12"/>
      <c r="X58" s="321"/>
      <c r="Y58" s="321"/>
      <c r="Z58" s="321"/>
      <c r="AA58" s="321"/>
      <c r="AB58" s="321"/>
      <c r="AC58" s="321"/>
      <c r="AD58" s="321"/>
      <c r="AE58" s="321"/>
      <c r="AF58" s="321"/>
      <c r="AG58" s="321"/>
      <c r="AH58" s="321"/>
      <c r="AI58" s="321"/>
      <c r="AJ58" s="321"/>
      <c r="AK58" s="321"/>
      <c r="AL58" s="321"/>
      <c r="AM58" s="321"/>
      <c r="AN58" s="321"/>
      <c r="AO58" s="321"/>
      <c r="AP58" s="321"/>
      <c r="AQ58" s="321"/>
    </row>
    <row r="59" spans="1:43" s="177" customFormat="1">
      <c r="A59" s="248"/>
      <c r="B59" s="246"/>
      <c r="C59" s="246"/>
      <c r="D59" s="246"/>
      <c r="E59" s="246"/>
      <c r="F59" s="246"/>
      <c r="G59" s="246"/>
      <c r="H59" s="246"/>
      <c r="I59" s="246"/>
      <c r="J59" s="246"/>
      <c r="K59" s="32">
        <v>1628000</v>
      </c>
      <c r="L59" s="178" t="str">
        <f>IF(AND($B$53&gt;=$K$59,$B$53&lt;$K$60),ROUNDDOWN($B$53/4,-3)*2.4+100000,"-")</f>
        <v>-</v>
      </c>
      <c r="M59" s="178" t="str">
        <f>IF(AND($B$54&gt;=$K$59,$B$54&lt;$K$60),ROUNDDOWN($B$54/4,-3)*2.4+100000,"-")</f>
        <v>-</v>
      </c>
      <c r="N59" s="178" t="str">
        <f>IF(AND($B$55&gt;=$K$59,$B$55&lt;$K$60),ROUNDDOWN($B$55/4,-3)*2.4+100000,"-")</f>
        <v>-</v>
      </c>
      <c r="O59" s="178" t="str">
        <f>IF(AND($B$56&gt;=$K$59,$B$56&lt;$K$60),ROUNDDOWN($B$56/4,-3)*2.4+100000,"-")</f>
        <v>-</v>
      </c>
      <c r="P59" s="178" t="str">
        <f>IF(AND($B$57&gt;=$K$59,$B$57&lt;$K$60),ROUNDDOWN($B$57/4,-3)*2.4+100000,"-")</f>
        <v>-</v>
      </c>
      <c r="Q59" s="178" t="str">
        <f>IF(AND($B$58&gt;=$K$59,$B$58&lt;$K$60),ROUNDDOWN($B$58/4,-3)*2.4+100000,"-")</f>
        <v>-</v>
      </c>
      <c r="R59" s="246"/>
      <c r="S59" s="27"/>
      <c r="T59" s="27"/>
      <c r="U59" s="12"/>
      <c r="V59" s="12"/>
      <c r="W59" s="12"/>
      <c r="X59" s="321"/>
      <c r="Y59" s="321"/>
      <c r="Z59" s="321"/>
      <c r="AA59" s="321"/>
      <c r="AB59" s="321"/>
      <c r="AC59" s="321"/>
      <c r="AD59" s="321"/>
      <c r="AE59" s="321"/>
      <c r="AF59" s="321"/>
      <c r="AG59" s="321"/>
      <c r="AH59" s="321"/>
      <c r="AI59" s="321"/>
      <c r="AJ59" s="321"/>
      <c r="AK59" s="321"/>
      <c r="AL59" s="321"/>
      <c r="AM59" s="321"/>
      <c r="AN59" s="321"/>
      <c r="AO59" s="321"/>
      <c r="AP59" s="321"/>
      <c r="AQ59" s="321"/>
    </row>
    <row r="60" spans="1:43" s="177" customFormat="1">
      <c r="A60" s="248"/>
      <c r="B60" s="246"/>
      <c r="C60" s="246"/>
      <c r="D60" s="246"/>
      <c r="E60" s="246"/>
      <c r="F60" s="246"/>
      <c r="G60" s="246"/>
      <c r="H60" s="246"/>
      <c r="I60" s="246"/>
      <c r="J60" s="246"/>
      <c r="K60" s="32">
        <v>1800000</v>
      </c>
      <c r="L60" s="178" t="str">
        <f>IF(AND($B$53&gt;=$K$60,$B$53&lt;$K$61),ROUNDDOWN($B$53/4,-3)*2.8-80000,"-")</f>
        <v>-</v>
      </c>
      <c r="M60" s="178" t="str">
        <f>IF(AND($B$54&gt;=$K$60,$B$54&lt;$K$61),ROUNDDOWN($B$54/4,-3)*2.8-80000,"-")</f>
        <v>-</v>
      </c>
      <c r="N60" s="178" t="str">
        <f>IF(AND($B$55&gt;=$K$60,$B$55&lt;$K$61),ROUNDDOWN($B$55/4,-3)*2.8-80000,"-")</f>
        <v>-</v>
      </c>
      <c r="O60" s="178" t="str">
        <f>IF(AND($B$56&gt;=$K$60,$B$56&lt;$K$61),ROUNDDOWN($B$56/4,-3)*2.8-80000,"-")</f>
        <v>-</v>
      </c>
      <c r="P60" s="178" t="str">
        <f>IF(AND($B$57&gt;=$K$60,$B$57&lt;$K$61),ROUNDDOWN($B$57/4,-3)*2.8-80000,"-")</f>
        <v>-</v>
      </c>
      <c r="Q60" s="178" t="str">
        <f>IF(AND($B$58&gt;=$K$60,$B$58&lt;$K$61),ROUNDDOWN($B$58/4,-3)*2.8-80000,"-")</f>
        <v>-</v>
      </c>
      <c r="R60" s="27"/>
      <c r="S60" s="27"/>
      <c r="T60" s="27"/>
      <c r="U60" s="12"/>
      <c r="V60" s="12"/>
      <c r="W60" s="12"/>
      <c r="X60" s="321"/>
      <c r="Y60" s="321"/>
      <c r="Z60" s="321"/>
      <c r="AA60" s="321"/>
      <c r="AB60" s="321"/>
      <c r="AC60" s="321"/>
      <c r="AD60" s="321"/>
      <c r="AE60" s="321"/>
      <c r="AF60" s="321"/>
      <c r="AG60" s="321"/>
      <c r="AH60" s="321"/>
      <c r="AI60" s="321"/>
      <c r="AJ60" s="321"/>
      <c r="AK60" s="321"/>
      <c r="AL60" s="321"/>
      <c r="AM60" s="321"/>
      <c r="AN60" s="321"/>
      <c r="AO60" s="321"/>
      <c r="AP60" s="321"/>
      <c r="AQ60" s="321"/>
    </row>
    <row r="61" spans="1:43" s="177" customFormat="1">
      <c r="A61" s="248"/>
      <c r="B61" s="246"/>
      <c r="C61" s="246"/>
      <c r="D61" s="246"/>
      <c r="E61" s="246"/>
      <c r="F61" s="246"/>
      <c r="G61" s="246"/>
      <c r="H61" s="246"/>
      <c r="I61" s="246"/>
      <c r="J61" s="246"/>
      <c r="K61" s="32">
        <v>3600000</v>
      </c>
      <c r="L61" s="178" t="str">
        <f>IF(AND($B$53&gt;=$K$61,$B$53&lt;$K$62),ROUNDDOWN($B$53/4,-3)*3.2-440000,"-")</f>
        <v>-</v>
      </c>
      <c r="M61" s="178" t="str">
        <f>IF(AND($B$54&gt;=$K$61,$B$54&lt;$K$62),ROUNDDOWN($B$54/4,-3)*3.2-440000,"-")</f>
        <v>-</v>
      </c>
      <c r="N61" s="178" t="str">
        <f>IF(AND($B$55&gt;=$K$61,$B$55&lt;$K$62),ROUNDDOWN($B$55/4,-3)*3.2-440000,"-")</f>
        <v>-</v>
      </c>
      <c r="O61" s="178" t="str">
        <f>IF(AND($B$56&gt;=$K$61,$B$56&lt;$K$62),ROUNDDOWN($B$56/4,-3)*3.2-440000,"-")</f>
        <v>-</v>
      </c>
      <c r="P61" s="178" t="str">
        <f>IF(AND($B$57&gt;=$K$61,$B$57&lt;$K$62),ROUNDDOWN($B$57/4,-3)*3.2-440000,"-")</f>
        <v>-</v>
      </c>
      <c r="Q61" s="178" t="str">
        <f>IF(AND($B$58&gt;=$K$61,$B$58&lt;$K$62),ROUNDDOWN($B$58/4,-3)*3.2-440000,"-")</f>
        <v>-</v>
      </c>
      <c r="R61" s="27"/>
      <c r="S61" s="27"/>
      <c r="T61" s="27"/>
      <c r="U61" s="12"/>
      <c r="V61" s="12"/>
      <c r="W61" s="12"/>
      <c r="X61" s="321"/>
      <c r="Y61" s="321"/>
      <c r="Z61" s="321"/>
      <c r="AA61" s="321"/>
      <c r="AB61" s="321"/>
      <c r="AC61" s="321"/>
      <c r="AD61" s="321"/>
      <c r="AE61" s="321"/>
      <c r="AF61" s="321"/>
      <c r="AG61" s="321"/>
      <c r="AH61" s="321"/>
      <c r="AI61" s="321"/>
      <c r="AJ61" s="321"/>
      <c r="AK61" s="321"/>
      <c r="AL61" s="321"/>
      <c r="AM61" s="321"/>
      <c r="AN61" s="321"/>
      <c r="AO61" s="321"/>
      <c r="AP61" s="321"/>
      <c r="AQ61" s="321"/>
    </row>
    <row r="62" spans="1:43" s="177" customFormat="1">
      <c r="A62" s="248"/>
      <c r="B62" s="246"/>
      <c r="C62" s="246"/>
      <c r="D62" s="246"/>
      <c r="E62" s="246"/>
      <c r="F62" s="246"/>
      <c r="G62" s="246"/>
      <c r="H62" s="246"/>
      <c r="I62" s="246"/>
      <c r="J62" s="246"/>
      <c r="K62" s="32">
        <v>6600000</v>
      </c>
      <c r="L62" s="178" t="str">
        <f>IF(AND($B$53&gt;=$K$62,$B$53&lt;$K$63),ROUNDDOWN($B$53*0.9-1100000,0),"-")</f>
        <v>-</v>
      </c>
      <c r="M62" s="178" t="str">
        <f>IF(AND($B$54&gt;=$K$62,$B$54&lt;$K$63),ROUNDDOWN($B$54*0.9-1100000,0),"-")</f>
        <v>-</v>
      </c>
      <c r="N62" s="178" t="str">
        <f>IF(AND($B$55&gt;=$K$62,$B$55&lt;$K$63),ROUNDDOWN($B$55*0.9-1100000,0),"-")</f>
        <v>-</v>
      </c>
      <c r="O62" s="178" t="str">
        <f>IF(AND($B$56&gt;=$K$62,$B$56&lt;$K$63),ROUNDDOWN($B$56*0.9-1100000,0),"-")</f>
        <v>-</v>
      </c>
      <c r="P62" s="178" t="str">
        <f>IF(AND($B$57&gt;=$K$62,$B$57&lt;$K$63),ROUNDDOWN($B$57*0.9-1100000,0),"-")</f>
        <v>-</v>
      </c>
      <c r="Q62" s="178" t="str">
        <f>IF(AND($B$58&gt;=$K$62,$B$58&lt;$K$63),ROUNDDOWN($B$58*0.9-1100000,0),"-")</f>
        <v>-</v>
      </c>
      <c r="R62" s="27"/>
      <c r="S62" s="27"/>
      <c r="T62" s="27"/>
      <c r="U62" s="12"/>
      <c r="V62" s="12"/>
      <c r="W62" s="12"/>
      <c r="X62" s="321"/>
      <c r="Y62" s="321"/>
      <c r="Z62" s="321"/>
      <c r="AA62" s="321"/>
      <c r="AB62" s="321"/>
      <c r="AC62" s="321"/>
      <c r="AD62" s="321"/>
      <c r="AE62" s="321"/>
      <c r="AF62" s="321"/>
      <c r="AG62" s="321"/>
      <c r="AH62" s="321"/>
      <c r="AI62" s="321"/>
      <c r="AJ62" s="321"/>
      <c r="AK62" s="321"/>
      <c r="AL62" s="321"/>
      <c r="AM62" s="321"/>
      <c r="AN62" s="321"/>
      <c r="AO62" s="321"/>
      <c r="AP62" s="321"/>
      <c r="AQ62" s="321"/>
    </row>
    <row r="63" spans="1:43">
      <c r="A63" s="249"/>
      <c r="B63" s="12"/>
      <c r="C63" s="12"/>
      <c r="D63" s="12"/>
      <c r="E63" s="12"/>
      <c r="F63" s="12"/>
      <c r="G63" s="12"/>
      <c r="H63" s="12"/>
      <c r="I63" s="12"/>
      <c r="J63" s="250"/>
      <c r="K63" s="32">
        <v>8500000</v>
      </c>
      <c r="L63" s="77" t="str">
        <f>IF($B$53&gt;=$K63,$B$53-1950000,"-")</f>
        <v>-</v>
      </c>
      <c r="M63" s="77" t="str">
        <f>IF($B$54&gt;=$K63,$B$54-1950000,"-")</f>
        <v>-</v>
      </c>
      <c r="N63" s="77" t="str">
        <f>IF($B$55&gt;=$K63,$B$55-1950000,"-")</f>
        <v>-</v>
      </c>
      <c r="O63" s="77" t="str">
        <f>IF($B$56&gt;=$K63,$B$56-1950000,"-")</f>
        <v>-</v>
      </c>
      <c r="P63" s="77" t="str">
        <f>IF($B$57&gt;=$K63,$B$57-1950000,"-")</f>
        <v>-</v>
      </c>
      <c r="Q63" s="77" t="str">
        <f>IF($B$58&gt;=$K63,$B$58-1950000,"-")</f>
        <v>-</v>
      </c>
      <c r="R63" s="27"/>
      <c r="S63" s="12"/>
      <c r="T63" s="27"/>
      <c r="U63" s="12"/>
      <c r="V63" s="12"/>
      <c r="W63" s="12"/>
      <c r="X63" s="321"/>
      <c r="Y63" s="321"/>
      <c r="Z63" s="321"/>
      <c r="AA63" s="321"/>
      <c r="AB63" s="321"/>
      <c r="AC63" s="321"/>
      <c r="AD63" s="321"/>
      <c r="AE63" s="321"/>
      <c r="AF63" s="321"/>
      <c r="AG63" s="321"/>
      <c r="AH63" s="321"/>
      <c r="AI63" s="321"/>
      <c r="AJ63" s="321"/>
      <c r="AK63" s="321"/>
      <c r="AL63" s="321"/>
      <c r="AM63" s="321"/>
      <c r="AN63" s="321"/>
      <c r="AO63" s="321"/>
      <c r="AP63" s="321"/>
      <c r="AQ63" s="321"/>
    </row>
    <row r="64" spans="1:43">
      <c r="A64" s="27"/>
      <c r="B64" s="27"/>
      <c r="C64" s="27"/>
      <c r="D64" s="27"/>
      <c r="E64" s="27"/>
      <c r="F64" s="27"/>
      <c r="G64" s="27"/>
      <c r="H64" s="27"/>
      <c r="I64" s="246"/>
      <c r="J64" s="216"/>
      <c r="K64" s="251"/>
      <c r="L64" s="251"/>
      <c r="M64" s="251"/>
      <c r="N64" s="251"/>
      <c r="O64" s="251"/>
      <c r="P64" s="27"/>
      <c r="Q64" s="12"/>
      <c r="R64" s="12"/>
      <c r="S64" s="12"/>
      <c r="T64" s="12"/>
      <c r="U64" s="12"/>
      <c r="V64" s="321"/>
      <c r="W64" s="321"/>
      <c r="X64" s="321"/>
      <c r="Y64" s="321"/>
      <c r="Z64" s="321"/>
      <c r="AA64" s="321"/>
      <c r="AB64" s="321"/>
      <c r="AC64" s="321"/>
      <c r="AD64" s="321"/>
      <c r="AE64" s="321"/>
      <c r="AF64" s="321"/>
      <c r="AG64" s="321"/>
      <c r="AH64" s="321"/>
      <c r="AI64" s="321"/>
      <c r="AJ64" s="321"/>
      <c r="AK64" s="321"/>
      <c r="AL64" s="321"/>
      <c r="AM64" s="321"/>
      <c r="AN64" s="321"/>
      <c r="AO64" s="321"/>
    </row>
    <row r="65" spans="1:41">
      <c r="A65" s="27"/>
      <c r="B65" s="27"/>
      <c r="C65" s="27"/>
      <c r="D65" s="246"/>
      <c r="E65" s="216"/>
      <c r="F65" s="216"/>
      <c r="G65" s="216"/>
      <c r="H65" s="216"/>
      <c r="I65" s="216"/>
      <c r="J65" s="216"/>
      <c r="K65" s="27"/>
      <c r="L65" s="27"/>
      <c r="M65" s="27"/>
      <c r="N65" s="475" t="s">
        <v>197</v>
      </c>
      <c r="O65" s="475"/>
      <c r="P65" s="288">
        <f>SUM(R53:R58)+K67</f>
        <v>0</v>
      </c>
      <c r="Q65" s="12"/>
      <c r="R65" s="12"/>
      <c r="S65" s="12"/>
      <c r="T65" s="12"/>
      <c r="U65" s="12"/>
      <c r="V65" s="321"/>
      <c r="W65" s="321"/>
      <c r="X65" s="321"/>
      <c r="Y65" s="321"/>
      <c r="Z65" s="321"/>
      <c r="AA65" s="321"/>
      <c r="AB65" s="321"/>
      <c r="AC65" s="321"/>
      <c r="AD65" s="321"/>
      <c r="AE65" s="321"/>
      <c r="AF65" s="321"/>
      <c r="AG65" s="321"/>
      <c r="AH65" s="321"/>
      <c r="AI65" s="321"/>
      <c r="AJ65" s="321"/>
      <c r="AK65" s="321"/>
      <c r="AL65" s="321"/>
      <c r="AM65" s="321"/>
      <c r="AN65" s="321"/>
      <c r="AO65" s="321"/>
    </row>
    <row r="66" spans="1:41">
      <c r="A66" s="27"/>
      <c r="B66" s="27"/>
      <c r="C66" s="27"/>
      <c r="D66" s="246"/>
      <c r="E66" s="216"/>
      <c r="F66" s="216"/>
      <c r="G66" s="216"/>
      <c r="H66" s="216"/>
      <c r="I66" s="216"/>
      <c r="J66" s="216"/>
      <c r="K66" s="27"/>
      <c r="L66" s="27"/>
      <c r="M66" s="27"/>
      <c r="N66" s="12"/>
      <c r="O66" s="12"/>
      <c r="P66" s="12"/>
      <c r="Q66" s="12"/>
      <c r="R66" s="12"/>
      <c r="S66" s="12"/>
      <c r="T66" s="12"/>
      <c r="U66" s="12"/>
      <c r="V66" s="321"/>
      <c r="W66" s="321"/>
      <c r="X66" s="321"/>
      <c r="Y66" s="321"/>
      <c r="Z66" s="321"/>
      <c r="AA66" s="321"/>
      <c r="AB66" s="321"/>
      <c r="AC66" s="321"/>
      <c r="AD66" s="321"/>
      <c r="AE66" s="321"/>
      <c r="AF66" s="321"/>
      <c r="AG66" s="321"/>
      <c r="AH66" s="321"/>
      <c r="AI66" s="321"/>
      <c r="AJ66" s="321"/>
      <c r="AK66" s="321"/>
      <c r="AL66" s="321"/>
      <c r="AM66" s="321"/>
      <c r="AN66" s="321"/>
      <c r="AO66" s="321"/>
    </row>
    <row r="67" spans="1:41" ht="19.5" thickBot="1">
      <c r="A67" s="27"/>
      <c r="B67" s="27" t="s">
        <v>63</v>
      </c>
      <c r="C67" s="27"/>
      <c r="D67" s="246"/>
      <c r="E67" s="216"/>
      <c r="F67" s="216"/>
      <c r="G67" s="216"/>
      <c r="H67" s="216"/>
      <c r="I67" s="216"/>
      <c r="J67" s="245" t="s">
        <v>134</v>
      </c>
      <c r="K67" s="253">
        <f>SUM(C72,C81,C90,C99,C108,C117)</f>
        <v>0</v>
      </c>
      <c r="L67" s="27"/>
      <c r="M67" s="27"/>
      <c r="N67" s="12"/>
      <c r="O67" s="12"/>
      <c r="P67" s="12"/>
      <c r="Q67" s="12"/>
      <c r="R67" s="12"/>
      <c r="S67" s="12"/>
      <c r="T67" s="12"/>
      <c r="U67" s="12"/>
      <c r="V67" s="321"/>
      <c r="W67" s="321"/>
      <c r="X67" s="321"/>
      <c r="Y67" s="321"/>
      <c r="Z67" s="321"/>
      <c r="AA67" s="321"/>
      <c r="AB67" s="321"/>
      <c r="AC67" s="321"/>
      <c r="AD67" s="321"/>
      <c r="AE67" s="321"/>
      <c r="AF67" s="321"/>
      <c r="AG67" s="321"/>
      <c r="AH67" s="321"/>
      <c r="AI67" s="321"/>
      <c r="AJ67" s="321"/>
      <c r="AK67" s="321"/>
      <c r="AL67" s="321"/>
      <c r="AM67" s="321"/>
      <c r="AN67" s="321"/>
      <c r="AO67" s="321"/>
    </row>
    <row r="68" spans="1:41" ht="13.5" thickBot="1">
      <c r="A68" s="387" t="s">
        <v>193</v>
      </c>
      <c r="B68" s="319" t="s">
        <v>214</v>
      </c>
      <c r="C68" s="27"/>
      <c r="D68" s="27"/>
      <c r="E68" s="27"/>
      <c r="F68" s="27"/>
      <c r="G68" s="27"/>
      <c r="H68" s="27"/>
      <c r="I68" s="27"/>
      <c r="J68" s="27"/>
      <c r="K68" s="27"/>
      <c r="L68" s="27"/>
      <c r="M68" s="27"/>
      <c r="N68" s="12"/>
      <c r="O68" s="12"/>
      <c r="P68" s="12"/>
      <c r="Q68" s="12"/>
      <c r="R68" s="12"/>
      <c r="S68" s="12"/>
      <c r="T68" s="12"/>
      <c r="U68" s="12"/>
      <c r="V68" s="321"/>
      <c r="W68" s="321"/>
      <c r="X68" s="321"/>
      <c r="Y68" s="321"/>
      <c r="Z68" s="321"/>
      <c r="AA68" s="321"/>
      <c r="AB68" s="321"/>
      <c r="AC68" s="321"/>
      <c r="AD68" s="321"/>
      <c r="AE68" s="321"/>
      <c r="AF68" s="321"/>
      <c r="AG68" s="321"/>
      <c r="AH68" s="321"/>
      <c r="AI68" s="321"/>
      <c r="AJ68" s="321"/>
      <c r="AK68" s="321"/>
      <c r="AL68" s="321"/>
      <c r="AM68" s="321"/>
      <c r="AN68" s="321"/>
      <c r="AO68" s="321"/>
    </row>
    <row r="69" spans="1:41">
      <c r="A69" s="27"/>
      <c r="B69" s="12"/>
      <c r="C69" s="27"/>
      <c r="D69" s="467" t="s">
        <v>128</v>
      </c>
      <c r="E69" s="468"/>
      <c r="F69" s="468"/>
      <c r="G69" s="469"/>
      <c r="H69" s="470" t="s">
        <v>64</v>
      </c>
      <c r="I69" s="471"/>
      <c r="J69" s="471"/>
      <c r="K69" s="472"/>
      <c r="L69" s="27"/>
      <c r="M69" s="27"/>
      <c r="N69" s="12"/>
      <c r="O69" s="12"/>
      <c r="P69" s="12"/>
      <c r="Q69" s="12"/>
      <c r="R69" s="12"/>
      <c r="S69" s="12"/>
      <c r="T69" s="12"/>
      <c r="U69" s="12"/>
      <c r="V69" s="321"/>
      <c r="W69" s="321"/>
      <c r="X69" s="321"/>
      <c r="Y69" s="321"/>
      <c r="Z69" s="321"/>
      <c r="AA69" s="321"/>
      <c r="AB69" s="321"/>
      <c r="AC69" s="321"/>
      <c r="AD69" s="321"/>
      <c r="AE69" s="321"/>
      <c r="AF69" s="321"/>
      <c r="AG69" s="321"/>
      <c r="AH69" s="321"/>
      <c r="AI69" s="321"/>
      <c r="AJ69" s="321"/>
      <c r="AK69" s="321"/>
      <c r="AL69" s="321"/>
      <c r="AM69" s="321"/>
      <c r="AN69" s="321"/>
      <c r="AO69" s="321"/>
    </row>
    <row r="70" spans="1:41">
      <c r="A70" s="27" t="s">
        <v>32</v>
      </c>
      <c r="B70" s="169" t="s">
        <v>61</v>
      </c>
      <c r="C70" s="170" t="s">
        <v>62</v>
      </c>
      <c r="D70" s="171" t="s">
        <v>129</v>
      </c>
      <c r="E70" s="18" t="s">
        <v>131</v>
      </c>
      <c r="F70" s="171" t="s">
        <v>132</v>
      </c>
      <c r="G70" s="173" t="s">
        <v>133</v>
      </c>
      <c r="H70" s="172" t="s">
        <v>130</v>
      </c>
      <c r="I70" s="18" t="s">
        <v>131</v>
      </c>
      <c r="J70" s="171" t="s">
        <v>132</v>
      </c>
      <c r="K70" s="18" t="s">
        <v>133</v>
      </c>
      <c r="L70" s="27"/>
      <c r="M70" s="27"/>
      <c r="N70" s="12"/>
      <c r="O70" s="12"/>
      <c r="P70" s="12"/>
      <c r="Q70" s="12"/>
      <c r="R70" s="12"/>
      <c r="S70" s="12"/>
      <c r="T70" s="12"/>
      <c r="U70" s="12"/>
      <c r="V70" s="321"/>
      <c r="W70" s="321"/>
      <c r="X70" s="321"/>
      <c r="Y70" s="321"/>
      <c r="Z70" s="321"/>
      <c r="AA70" s="321"/>
      <c r="AB70" s="321"/>
      <c r="AC70" s="321"/>
      <c r="AD70" s="321"/>
      <c r="AE70" s="321"/>
      <c r="AF70" s="321"/>
      <c r="AG70" s="321"/>
      <c r="AH70" s="321"/>
      <c r="AI70" s="321"/>
      <c r="AJ70" s="321"/>
      <c r="AK70" s="321"/>
      <c r="AL70" s="321"/>
      <c r="AM70" s="321"/>
      <c r="AN70" s="321"/>
      <c r="AO70" s="321"/>
    </row>
    <row r="71" spans="1:41">
      <c r="A71" s="27"/>
      <c r="B71" s="297">
        <f>N11</f>
        <v>0</v>
      </c>
      <c r="C71" s="298">
        <f>IF(B74=0,IF(C76=1,MAX(E71:E76),IF(C76=2,MAX(F71:F76),MAX(G71:G76))),IF(C76=1,MAX(I71:I76),IF(C76=2,MAX(J71:J76),MAX(K71:K76))))</f>
        <v>0</v>
      </c>
      <c r="D71" s="174">
        <v>0</v>
      </c>
      <c r="E71" s="233">
        <f>IF($B$71&lt;$D$72,0,0)</f>
        <v>0</v>
      </c>
      <c r="F71" s="233">
        <f>IF($B$71&lt;$D$72,$B$71-1000000,0)</f>
        <v>-1000000</v>
      </c>
      <c r="G71" s="234">
        <f>IF($B$71&lt;$D$72,$B$71-900000,0)</f>
        <v>-900000</v>
      </c>
      <c r="H71" s="175">
        <v>0</v>
      </c>
      <c r="I71" s="233">
        <f>IF($B$71&lt;$H$72,0,0)</f>
        <v>0</v>
      </c>
      <c r="J71" s="233">
        <f>IF($B$71&lt;$H$72,$B$71-1000000,0)</f>
        <v>-1000000</v>
      </c>
      <c r="K71" s="233">
        <f>IF($B$71&lt;$H$72,$B$71-900000,0)</f>
        <v>-900000</v>
      </c>
      <c r="L71" s="27"/>
      <c r="M71" s="27"/>
      <c r="N71" s="27"/>
      <c r="O71" s="27"/>
      <c r="P71" s="12"/>
      <c r="Q71" s="12"/>
      <c r="R71" s="12"/>
      <c r="S71" s="12"/>
      <c r="T71" s="12"/>
      <c r="U71" s="12"/>
      <c r="V71" s="321"/>
      <c r="W71" s="321"/>
      <c r="X71" s="321"/>
      <c r="Y71" s="321"/>
      <c r="Z71" s="321"/>
      <c r="AA71" s="321"/>
      <c r="AB71" s="321"/>
      <c r="AC71" s="321"/>
      <c r="AD71" s="321"/>
      <c r="AE71" s="321"/>
      <c r="AF71" s="321"/>
      <c r="AG71" s="321"/>
      <c r="AH71" s="321"/>
      <c r="AI71" s="321"/>
      <c r="AJ71" s="321"/>
      <c r="AK71" s="321"/>
      <c r="AL71" s="321"/>
      <c r="AM71" s="321"/>
      <c r="AN71" s="321"/>
      <c r="AO71" s="321"/>
    </row>
    <row r="72" spans="1:41">
      <c r="A72" s="27"/>
      <c r="B72" s="296" t="s">
        <v>134</v>
      </c>
      <c r="C72" s="27">
        <f>IF(R53=1,0,IF(OR(AND(B74=1,B71&gt;1250000),AND(B74=0,B71&gt;600000)),1,0))</f>
        <v>0</v>
      </c>
      <c r="D72" s="176">
        <v>600001</v>
      </c>
      <c r="E72" s="176">
        <f>IF(AND($B$71&gt;=$D$72,$B$71&lt;$D$73),$B$71-600000,0)</f>
        <v>0</v>
      </c>
      <c r="F72" s="176">
        <f>IF(AND($B$71&gt;=$D$72,$B$71&lt;$D$73),$B$71-500000,0)</f>
        <v>0</v>
      </c>
      <c r="G72" s="235">
        <f>IF(AND($B$71&gt;=$D$72,$B$71&lt;$D$73),$B$71-400000,0)</f>
        <v>0</v>
      </c>
      <c r="H72" s="73">
        <v>1100001</v>
      </c>
      <c r="I72" s="176">
        <f>IF(AND($B$71&gt;=$H$72,$B$71&lt;$H$73),$B$71-1100000,0)</f>
        <v>0</v>
      </c>
      <c r="J72" s="176">
        <f>IF(AND($B$71&gt;=$H$72,$B$71&lt;$H$73),$B$71-1000000,0)</f>
        <v>0</v>
      </c>
      <c r="K72" s="176">
        <f>IF(AND($B$71&gt;=$H$72,$B$71&lt;$H$73),$B$71-900000,0)</f>
        <v>0</v>
      </c>
      <c r="L72" s="27"/>
      <c r="M72" s="27"/>
      <c r="N72" s="27"/>
      <c r="O72" s="27"/>
      <c r="P72" s="12"/>
      <c r="Q72" s="12"/>
      <c r="R72" s="12"/>
      <c r="S72" s="12"/>
      <c r="T72" s="12"/>
      <c r="U72" s="12"/>
      <c r="V72" s="321"/>
      <c r="W72" s="321"/>
      <c r="X72" s="321"/>
      <c r="Y72" s="321"/>
      <c r="Z72" s="321"/>
      <c r="AA72" s="321"/>
      <c r="AB72" s="321"/>
      <c r="AC72" s="321"/>
      <c r="AD72" s="321"/>
      <c r="AE72" s="321"/>
      <c r="AF72" s="321"/>
      <c r="AG72" s="321"/>
      <c r="AH72" s="321"/>
      <c r="AI72" s="321"/>
      <c r="AJ72" s="321"/>
      <c r="AK72" s="321"/>
      <c r="AL72" s="321"/>
      <c r="AM72" s="321"/>
      <c r="AN72" s="321"/>
      <c r="AO72" s="321"/>
    </row>
    <row r="73" spans="1:41" ht="19.5" thickBot="1">
      <c r="A73" s="27"/>
      <c r="B73" s="239" t="s">
        <v>195</v>
      </c>
      <c r="C73" s="243" t="s">
        <v>194</v>
      </c>
      <c r="D73" s="176">
        <v>1300000</v>
      </c>
      <c r="E73" s="176">
        <f>IF(AND($B$71&gt;=$D$73,$B$71&lt;$D$74),ROUNDDOWN($B$71*0.75,0)-275000,0)</f>
        <v>0</v>
      </c>
      <c r="F73" s="176">
        <f>IF(AND($B$71&gt;=$D$73,$B$71&lt;$D$74),ROUNDDOWN($B$71*0.75,0)-175000,0)</f>
        <v>0</v>
      </c>
      <c r="G73" s="235">
        <f>IF(AND($B$71&gt;=$D$73,$B$71&lt;$D$74),ROUNDDOWN($B$71*0.75,0)-75000,0)</f>
        <v>0</v>
      </c>
      <c r="H73" s="73">
        <v>3300000</v>
      </c>
      <c r="I73" s="176">
        <f>IF(AND($B$71&gt;=$H$73,$B$71&lt;$H$74),ROUNDDOWN($B$71*0.75,0)-275000,0)</f>
        <v>0</v>
      </c>
      <c r="J73" s="176">
        <f>IF(AND($B$71&gt;=$H$73,$B$71&lt;$H$74),ROUNDDOWN($B$71*0.75,0)-175000,0)</f>
        <v>0</v>
      </c>
      <c r="K73" s="176">
        <f>IF(AND($B$71&gt;=$H$73,$B$71&lt;$H$74),ROUNDDOWN($B$71*0.75,0)-75000,0)</f>
        <v>0</v>
      </c>
      <c r="L73" s="27"/>
      <c r="M73" s="27"/>
      <c r="N73" s="27"/>
      <c r="O73" s="27"/>
      <c r="P73" s="12"/>
      <c r="Q73" s="12"/>
      <c r="R73" s="12"/>
      <c r="S73" s="12"/>
      <c r="T73" s="12"/>
      <c r="U73" s="12"/>
      <c r="V73" s="321"/>
      <c r="W73" s="321"/>
      <c r="X73" s="321"/>
      <c r="Y73" s="321"/>
      <c r="Z73" s="321"/>
      <c r="AA73" s="321"/>
      <c r="AB73" s="321"/>
      <c r="AC73" s="321"/>
      <c r="AD73" s="321"/>
      <c r="AE73" s="321"/>
      <c r="AF73" s="321"/>
      <c r="AG73" s="321"/>
      <c r="AH73" s="321"/>
      <c r="AI73" s="321"/>
      <c r="AJ73" s="321"/>
      <c r="AK73" s="321"/>
      <c r="AL73" s="321"/>
      <c r="AM73" s="321"/>
      <c r="AN73" s="321"/>
      <c r="AO73" s="321"/>
    </row>
    <row r="74" spans="1:41" ht="13.5" thickBot="1">
      <c r="A74" s="27"/>
      <c r="B74" s="299">
        <f>IF(C74="自動",IF($B$68="生年月日",IF(R20&gt;64,1,0),IF(OR(B11=1,B11&gt;3),1,0)),IF(C74="65歳以上",1,0))</f>
        <v>1</v>
      </c>
      <c r="C74" s="320" t="s">
        <v>219</v>
      </c>
      <c r="D74" s="73">
        <v>4100000</v>
      </c>
      <c r="E74" s="176">
        <f>IF(AND($B$71&gt;=$D$74,$B$71&lt;$D$75),ROUNDDOWN($B$71*0.85,0)-685000,0)</f>
        <v>0</v>
      </c>
      <c r="F74" s="176">
        <f>IF(AND($B$71&gt;=$D$74,$B$71&lt;$D$75),ROUNDDOWN($B$71*0.85,0)-585000,0)</f>
        <v>0</v>
      </c>
      <c r="G74" s="235">
        <f>IF(AND($B$71&gt;=$D$74,$B$71&lt;$D$75),ROUNDDOWN($B$71*0.85,0)-485000,0)</f>
        <v>0</v>
      </c>
      <c r="H74" s="73">
        <v>4100000</v>
      </c>
      <c r="I74" s="176">
        <f>IF(AND($B$71&gt;=$H$74,$B$71&lt;$H$75),ROUNDDOWN($B$71*0.85,0)-685000,0)</f>
        <v>0</v>
      </c>
      <c r="J74" s="176">
        <f>IF(AND($B$71&gt;=$H$74,$B$71&lt;$H$75),ROUNDDOWN($B$71*0.85,0)-585000,0)</f>
        <v>0</v>
      </c>
      <c r="K74" s="176">
        <f>IF(AND($B$71&gt;=$H$74,$B$71&lt;$H$75),ROUNDDOWN($B$71*0.85,0)-485000,0)</f>
        <v>0</v>
      </c>
      <c r="L74" s="27"/>
      <c r="M74" s="27"/>
      <c r="N74" s="27"/>
      <c r="O74" s="27"/>
      <c r="P74" s="12"/>
      <c r="Q74" s="12"/>
      <c r="R74" s="12"/>
      <c r="S74" s="12"/>
      <c r="T74" s="12"/>
      <c r="U74" s="12"/>
      <c r="V74" s="321"/>
      <c r="W74" s="321"/>
      <c r="X74" s="321"/>
      <c r="Y74" s="321"/>
      <c r="Z74" s="321"/>
      <c r="AA74" s="321"/>
      <c r="AB74" s="321"/>
      <c r="AC74" s="321"/>
      <c r="AD74" s="321"/>
      <c r="AE74" s="321"/>
      <c r="AF74" s="321"/>
      <c r="AG74" s="321"/>
      <c r="AH74" s="321"/>
      <c r="AI74" s="321"/>
      <c r="AJ74" s="321"/>
      <c r="AK74" s="321"/>
      <c r="AL74" s="321"/>
      <c r="AM74" s="321"/>
      <c r="AN74" s="321"/>
      <c r="AO74" s="321"/>
    </row>
    <row r="75" spans="1:41" ht="25.5">
      <c r="A75" s="27"/>
      <c r="B75" s="341" t="s">
        <v>210</v>
      </c>
      <c r="C75" s="300" t="s">
        <v>127</v>
      </c>
      <c r="D75" s="176">
        <v>7700000</v>
      </c>
      <c r="E75" s="176">
        <f>IF(AND($B$71&gt;=$D$75,$B$71&lt;$D$76),ROUNDDOWN($B$71*0.95,0)-1455000,0)</f>
        <v>0</v>
      </c>
      <c r="F75" s="176">
        <f>IF(AND($B$71&gt;=$D$75,$B$71&lt;$D$76),ROUNDDOWN($B$71*0.95,0)-1355000,0)</f>
        <v>0</v>
      </c>
      <c r="G75" s="235">
        <f>IF(AND($B$71&gt;=$D$75,$B$71&lt;$D$76),ROUNDDOWN($B$71*0.95,0)-1255000,0)</f>
        <v>0</v>
      </c>
      <c r="H75" s="73">
        <v>7700000</v>
      </c>
      <c r="I75" s="176">
        <f>IF(AND($B$71&gt;=$H$75,$B$71&lt;$H$76),ROUNDDOWN($B$71*0.95,0)-1455000,0)</f>
        <v>0</v>
      </c>
      <c r="J75" s="176">
        <f>IF(AND($B$71&gt;=$H$75,$B$71&lt;$H$76),ROUNDDOWN($B$71*0.95,0)-1355000,0)</f>
        <v>0</v>
      </c>
      <c r="K75" s="176">
        <f>IF(AND($B$71&gt;=$H$75,$B$71&lt;$H$76),ROUNDDOWN($B$71*0.95,0)-1255000,0)</f>
        <v>0</v>
      </c>
      <c r="L75" s="27"/>
      <c r="M75" s="27"/>
      <c r="N75" s="27"/>
      <c r="O75" s="27"/>
      <c r="P75" s="12"/>
      <c r="Q75" s="12"/>
      <c r="R75" s="12"/>
      <c r="S75" s="12"/>
      <c r="T75" s="12"/>
      <c r="U75" s="12"/>
      <c r="V75" s="321"/>
      <c r="W75" s="321"/>
      <c r="X75" s="321"/>
      <c r="Y75" s="321"/>
      <c r="Z75" s="321"/>
      <c r="AA75" s="321"/>
      <c r="AB75" s="321"/>
      <c r="AC75" s="321"/>
      <c r="AD75" s="321"/>
      <c r="AE75" s="321"/>
      <c r="AF75" s="321"/>
      <c r="AG75" s="321"/>
      <c r="AH75" s="321"/>
      <c r="AI75" s="321"/>
      <c r="AJ75" s="321"/>
      <c r="AK75" s="321"/>
      <c r="AL75" s="321"/>
      <c r="AM75" s="321"/>
      <c r="AN75" s="321"/>
      <c r="AO75" s="321"/>
    </row>
    <row r="76" spans="1:41" s="165" customFormat="1">
      <c r="A76" s="27"/>
      <c r="B76" s="349">
        <f>IF(B74=1,IF(C71-150000&lt;0,0,C71-150000),C71)</f>
        <v>0</v>
      </c>
      <c r="C76" s="28">
        <f>IF(Q11&lt;=10000000,1,IF(Q11&lt;=20000000,2,3))</f>
        <v>1</v>
      </c>
      <c r="D76" s="77">
        <v>10000001</v>
      </c>
      <c r="E76" s="77">
        <f>IF($B$71&gt;=$D$76,$B$71-1955000,0)</f>
        <v>0</v>
      </c>
      <c r="F76" s="77">
        <f>IF($B$71&gt;=$D$76,$B$71-1855000,0)</f>
        <v>0</v>
      </c>
      <c r="G76" s="236">
        <f>IF($B$71&gt;=$D$76,$B$71-1755000,0)</f>
        <v>0</v>
      </c>
      <c r="H76" s="74">
        <v>10000001</v>
      </c>
      <c r="I76" s="77">
        <f>IF($B$71&gt;=$H$76,$B$71-1955000,0)</f>
        <v>0</v>
      </c>
      <c r="J76" s="77">
        <f>IF($B$71&gt;=$H$76,$B$71-1855000,0)</f>
        <v>0</v>
      </c>
      <c r="K76" s="77">
        <f>IF($B$71&gt;=$H$76,$B$71-1755000,0)</f>
        <v>0</v>
      </c>
      <c r="L76" s="27"/>
      <c r="M76" s="27"/>
      <c r="N76" s="27"/>
      <c r="O76" s="27"/>
      <c r="P76" s="12"/>
      <c r="Q76" s="12"/>
      <c r="R76" s="12"/>
      <c r="S76" s="12"/>
      <c r="T76" s="12"/>
      <c r="U76" s="12"/>
      <c r="V76" s="321"/>
      <c r="W76" s="321"/>
      <c r="X76" s="321"/>
      <c r="Y76" s="321"/>
      <c r="Z76" s="321"/>
      <c r="AA76" s="321"/>
      <c r="AB76" s="321"/>
      <c r="AC76" s="321"/>
      <c r="AD76" s="321"/>
      <c r="AE76" s="321"/>
      <c r="AF76" s="321"/>
      <c r="AG76" s="321"/>
      <c r="AH76" s="321"/>
      <c r="AI76" s="321"/>
      <c r="AJ76" s="321"/>
      <c r="AK76" s="321"/>
      <c r="AL76" s="321"/>
      <c r="AM76" s="321"/>
      <c r="AN76" s="321"/>
      <c r="AO76" s="321"/>
    </row>
    <row r="77" spans="1:41">
      <c r="A77" s="27"/>
      <c r="B77" s="27"/>
      <c r="C77" s="27"/>
      <c r="D77" s="287"/>
      <c r="E77" s="287"/>
      <c r="F77" s="287"/>
      <c r="G77" s="287"/>
      <c r="H77" s="287"/>
      <c r="I77" s="287"/>
      <c r="J77" s="287"/>
      <c r="K77" s="287"/>
      <c r="L77" s="27"/>
      <c r="M77" s="27"/>
      <c r="N77" s="12"/>
      <c r="O77" s="12"/>
      <c r="P77" s="12"/>
      <c r="Q77" s="12"/>
      <c r="R77" s="12"/>
      <c r="S77" s="12"/>
      <c r="T77" s="12"/>
      <c r="U77" s="12"/>
      <c r="V77" s="321"/>
      <c r="W77" s="321"/>
      <c r="X77" s="321"/>
      <c r="Y77" s="321"/>
      <c r="Z77" s="321"/>
      <c r="AA77" s="321"/>
      <c r="AB77" s="321"/>
      <c r="AC77" s="321"/>
      <c r="AD77" s="321"/>
      <c r="AE77" s="321"/>
      <c r="AF77" s="321"/>
      <c r="AG77" s="321"/>
      <c r="AH77" s="321"/>
      <c r="AI77" s="321"/>
      <c r="AJ77" s="321"/>
      <c r="AK77" s="321"/>
      <c r="AL77" s="321"/>
      <c r="AM77" s="321"/>
      <c r="AN77" s="321"/>
      <c r="AO77" s="321"/>
    </row>
    <row r="78" spans="1:41" s="166" customFormat="1">
      <c r="A78" s="27"/>
      <c r="B78" s="27"/>
      <c r="C78" s="27"/>
      <c r="D78" s="467" t="s">
        <v>128</v>
      </c>
      <c r="E78" s="468"/>
      <c r="F78" s="468"/>
      <c r="G78" s="469"/>
      <c r="H78" s="470" t="s">
        <v>64</v>
      </c>
      <c r="I78" s="471"/>
      <c r="J78" s="471"/>
      <c r="K78" s="472"/>
      <c r="L78" s="27"/>
      <c r="M78" s="27"/>
      <c r="N78" s="12"/>
      <c r="O78" s="12"/>
      <c r="P78" s="12"/>
      <c r="Q78" s="12"/>
      <c r="R78" s="12"/>
      <c r="S78" s="12"/>
      <c r="T78" s="12"/>
      <c r="U78" s="12"/>
      <c r="V78" s="321"/>
      <c r="W78" s="321"/>
      <c r="X78" s="321"/>
      <c r="Y78" s="321"/>
      <c r="Z78" s="321"/>
      <c r="AA78" s="321"/>
      <c r="AB78" s="321"/>
      <c r="AC78" s="321"/>
      <c r="AD78" s="321"/>
      <c r="AE78" s="321"/>
      <c r="AF78" s="321"/>
      <c r="AG78" s="321"/>
      <c r="AH78" s="321"/>
      <c r="AI78" s="321"/>
      <c r="AJ78" s="321"/>
      <c r="AK78" s="321"/>
      <c r="AL78" s="321"/>
      <c r="AM78" s="321"/>
      <c r="AN78" s="321"/>
      <c r="AO78" s="321"/>
    </row>
    <row r="79" spans="1:41">
      <c r="A79" s="27" t="s">
        <v>33</v>
      </c>
      <c r="B79" s="33" t="s">
        <v>61</v>
      </c>
      <c r="C79" s="34" t="s">
        <v>62</v>
      </c>
      <c r="D79" s="171" t="s">
        <v>129</v>
      </c>
      <c r="E79" s="18" t="s">
        <v>131</v>
      </c>
      <c r="F79" s="171" t="s">
        <v>132</v>
      </c>
      <c r="G79" s="173" t="s">
        <v>133</v>
      </c>
      <c r="H79" s="172" t="s">
        <v>130</v>
      </c>
      <c r="I79" s="18" t="s">
        <v>131</v>
      </c>
      <c r="J79" s="171" t="s">
        <v>132</v>
      </c>
      <c r="K79" s="18" t="s">
        <v>133</v>
      </c>
      <c r="L79" s="27"/>
      <c r="M79" s="27"/>
      <c r="N79" s="12"/>
      <c r="O79" s="12"/>
      <c r="P79" s="12"/>
      <c r="Q79" s="12"/>
      <c r="R79" s="12"/>
      <c r="S79" s="12"/>
      <c r="T79" s="12"/>
      <c r="U79" s="12"/>
      <c r="V79" s="321"/>
      <c r="W79" s="321"/>
      <c r="X79" s="321"/>
      <c r="Y79" s="321"/>
      <c r="Z79" s="321"/>
      <c r="AA79" s="321"/>
      <c r="AB79" s="321"/>
      <c r="AC79" s="321"/>
      <c r="AD79" s="321"/>
      <c r="AE79" s="321"/>
      <c r="AF79" s="321"/>
      <c r="AG79" s="321"/>
      <c r="AH79" s="321"/>
      <c r="AI79" s="321"/>
      <c r="AJ79" s="321"/>
      <c r="AK79" s="321"/>
      <c r="AL79" s="321"/>
      <c r="AM79" s="321"/>
      <c r="AN79" s="321"/>
      <c r="AO79" s="321"/>
    </row>
    <row r="80" spans="1:41">
      <c r="A80" s="27"/>
      <c r="B80" s="297">
        <f>N12</f>
        <v>0</v>
      </c>
      <c r="C80" s="295">
        <f>IF(B83=0,IF(C85=1,MAX(E80:E85),IF(C85=2,MAX(F80:F85),MAX(G80:G85))),IF(C85=1,MAX(I80:I85),IF(C85=2,MAX(J80:J85),MAX(K80:K85))))</f>
        <v>0</v>
      </c>
      <c r="D80" s="174">
        <v>0</v>
      </c>
      <c r="E80" s="233">
        <f>IF($B$80&lt;$D$81,0,0)</f>
        <v>0</v>
      </c>
      <c r="F80" s="233">
        <f>IF($B$80&lt;$D$81,$B$80-1000000,0)</f>
        <v>-1000000</v>
      </c>
      <c r="G80" s="234">
        <f>IF($B$80&lt;$D$81,$B$80-900000,0)</f>
        <v>-900000</v>
      </c>
      <c r="H80" s="175">
        <v>0</v>
      </c>
      <c r="I80" s="233">
        <f>IF($B$80&lt;$H$81,0,0)</f>
        <v>0</v>
      </c>
      <c r="J80" s="233">
        <f>IF($B$80&lt;$H$81,$B$80-1000000,0)</f>
        <v>-1000000</v>
      </c>
      <c r="K80" s="233">
        <f>IF($B$80&lt;$H$81,$B$80-900000,0)</f>
        <v>-900000</v>
      </c>
      <c r="L80" s="27"/>
      <c r="M80" s="27"/>
      <c r="N80" s="12"/>
      <c r="O80" s="12"/>
      <c r="P80" s="12"/>
      <c r="Q80" s="12"/>
      <c r="R80" s="12"/>
      <c r="S80" s="12"/>
      <c r="T80" s="12"/>
      <c r="U80" s="12"/>
      <c r="V80" s="321"/>
      <c r="W80" s="321"/>
      <c r="X80" s="321"/>
      <c r="Y80" s="321"/>
      <c r="Z80" s="321"/>
      <c r="AA80" s="321"/>
      <c r="AB80" s="321"/>
      <c r="AC80" s="321"/>
      <c r="AD80" s="321"/>
      <c r="AE80" s="321"/>
      <c r="AF80" s="321"/>
      <c r="AG80" s="321"/>
      <c r="AH80" s="321"/>
      <c r="AI80" s="321"/>
      <c r="AJ80" s="321"/>
      <c r="AK80" s="321"/>
      <c r="AL80" s="321"/>
      <c r="AM80" s="321"/>
      <c r="AN80" s="321"/>
      <c r="AO80" s="321"/>
    </row>
    <row r="81" spans="1:41">
      <c r="A81" s="27"/>
      <c r="B81" s="296" t="s">
        <v>134</v>
      </c>
      <c r="C81" s="27">
        <f>IF(R54=1,0,IF(OR(AND(B83=1,B80&gt;1250000),AND(B83=0,B80&gt;600000)),1,0))</f>
        <v>0</v>
      </c>
      <c r="D81" s="176">
        <v>600001</v>
      </c>
      <c r="E81" s="176">
        <f>IF(AND($B$80&gt;=$D$81,$B$80&lt;$D$82),$B$80-600000,0)</f>
        <v>0</v>
      </c>
      <c r="F81" s="176">
        <f>IF(AND($B$80&gt;=$D$81,$B$80&lt;$D$82),$B$80-500000,0)</f>
        <v>0</v>
      </c>
      <c r="G81" s="235">
        <f>IF(AND($B$80&gt;=$D$81,$B$80&lt;$D$82),$B$80-400000,0)</f>
        <v>0</v>
      </c>
      <c r="H81" s="73">
        <v>1100001</v>
      </c>
      <c r="I81" s="176">
        <f>IF(AND($B$80&gt;=$H$81,$B$80&lt;$H$82),$B$80-1100000,0)</f>
        <v>0</v>
      </c>
      <c r="J81" s="176">
        <f>IF(AND($B$80&gt;=$H$81,$B$80&lt;$H$82),$B$80-1000000,0)</f>
        <v>0</v>
      </c>
      <c r="K81" s="176">
        <f>IF(AND($B$80&gt;=$H$81,$B$80&lt;$H$82),$B$80-900000,0)</f>
        <v>0</v>
      </c>
      <c r="L81" s="27"/>
      <c r="M81" s="27"/>
      <c r="N81" s="12"/>
      <c r="O81" s="12"/>
      <c r="P81" s="12"/>
      <c r="Q81" s="12"/>
      <c r="R81" s="12"/>
      <c r="S81" s="12"/>
      <c r="T81" s="12"/>
      <c r="U81" s="12"/>
      <c r="V81" s="321"/>
      <c r="W81" s="321"/>
      <c r="X81" s="321"/>
      <c r="Y81" s="321"/>
      <c r="Z81" s="321"/>
      <c r="AA81" s="321"/>
      <c r="AB81" s="321"/>
      <c r="AC81" s="321"/>
      <c r="AD81" s="321"/>
      <c r="AE81" s="321"/>
      <c r="AF81" s="321"/>
      <c r="AG81" s="321"/>
      <c r="AH81" s="321"/>
      <c r="AI81" s="321"/>
      <c r="AJ81" s="321"/>
      <c r="AK81" s="321"/>
      <c r="AL81" s="321"/>
      <c r="AM81" s="321"/>
      <c r="AN81" s="321"/>
      <c r="AO81" s="321"/>
    </row>
    <row r="82" spans="1:41" ht="19.5" thickBot="1">
      <c r="A82" s="27"/>
      <c r="B82" s="239" t="s">
        <v>195</v>
      </c>
      <c r="C82" s="243" t="s">
        <v>194</v>
      </c>
      <c r="D82" s="176">
        <v>1300000</v>
      </c>
      <c r="E82" s="176">
        <f>IF(AND($B$80&gt;=$D$82,$B$80&lt;$D$83),ROUNDDOWN($B$80*0.75,0)-275000,0)</f>
        <v>0</v>
      </c>
      <c r="F82" s="176">
        <f>IF(AND($B$80&gt;=$D$82,$B$80&lt;$D$83),ROUNDDOWN($B$80*0.75,0)-175000,0)</f>
        <v>0</v>
      </c>
      <c r="G82" s="235">
        <f>IF(AND($B$80&gt;=$D$82,$B$80&lt;$D$83),ROUNDDOWN($B$80*0.75,0)-75000,0)</f>
        <v>0</v>
      </c>
      <c r="H82" s="73">
        <v>3300000</v>
      </c>
      <c r="I82" s="176">
        <f>IF(AND($B$80&gt;=$H$82,$B$80&lt;$H$83),ROUNDDOWN($B$80*0.75,0)-275000,0)</f>
        <v>0</v>
      </c>
      <c r="J82" s="176">
        <f>IF(AND($B$80&gt;=$H$82,$B$80&lt;$H$83),ROUNDDOWN($B$80*0.75,0)-175000,0)</f>
        <v>0</v>
      </c>
      <c r="K82" s="176">
        <f>IF(AND($B$80&gt;=$H$82,$B$80&lt;$H$83),ROUNDDOWN($B$80*0.75,0)-75000,0)</f>
        <v>0</v>
      </c>
      <c r="L82" s="27"/>
      <c r="M82" s="27"/>
      <c r="N82" s="12"/>
      <c r="O82" s="12"/>
      <c r="P82" s="12"/>
      <c r="Q82" s="12"/>
      <c r="R82" s="12"/>
      <c r="S82" s="12"/>
      <c r="T82" s="12"/>
      <c r="U82" s="12"/>
      <c r="V82" s="321"/>
      <c r="W82" s="321"/>
      <c r="X82" s="321"/>
      <c r="Y82" s="321"/>
      <c r="Z82" s="321"/>
      <c r="AA82" s="321"/>
      <c r="AB82" s="321"/>
      <c r="AC82" s="321"/>
      <c r="AD82" s="321"/>
      <c r="AE82" s="321"/>
      <c r="AF82" s="321"/>
      <c r="AG82" s="321"/>
      <c r="AH82" s="321"/>
      <c r="AI82" s="321"/>
      <c r="AJ82" s="321"/>
      <c r="AK82" s="321"/>
      <c r="AL82" s="321"/>
      <c r="AM82" s="321"/>
      <c r="AN82" s="321"/>
      <c r="AO82" s="321"/>
    </row>
    <row r="83" spans="1:41" ht="13.5" thickBot="1">
      <c r="A83" s="27"/>
      <c r="B83" s="299">
        <f>IF(C83="自動",IF($B$68="生年月日",IF(R21&gt;64,1,0),IF(OR(B12=1,B12&gt;3),1,0)),IF(C83="65歳以上",1,0))</f>
        <v>1</v>
      </c>
      <c r="C83" s="320" t="s">
        <v>219</v>
      </c>
      <c r="D83" s="176">
        <v>4100000</v>
      </c>
      <c r="E83" s="176">
        <f>IF(AND($B$80&gt;=$D$83,$B$80&lt;$D$84),ROUNDDOWN($B$80*0.85,0)-685000,0)</f>
        <v>0</v>
      </c>
      <c r="F83" s="176">
        <f>IF(AND($B$80&gt;=$D$83,$B$80&lt;$D$84),ROUNDDOWN($B$80*0.85,0)-585000,0)</f>
        <v>0</v>
      </c>
      <c r="G83" s="235">
        <f>IF(AND($B$80&gt;=$D$83,$B$80&lt;$D$84),ROUNDDOWN($B$80*0.85,0)-485000,0)</f>
        <v>0</v>
      </c>
      <c r="H83" s="73">
        <v>4100000</v>
      </c>
      <c r="I83" s="176">
        <f>IF(AND($B$80&gt;=$H$83,$B$80&lt;$H$84),ROUNDDOWN($B$80*0.85,0)-685000,0)</f>
        <v>0</v>
      </c>
      <c r="J83" s="176">
        <f>IF(AND($B$80&gt;=$H$83,$B$80&lt;$H$84),ROUNDDOWN($B$80*0.85,0)-585000,0)</f>
        <v>0</v>
      </c>
      <c r="K83" s="176">
        <f>IF(AND($B$80&gt;=$H$83,$B$80&lt;$H$84),ROUNDDOWN($B$80*0.85,0)-485000,0)</f>
        <v>0</v>
      </c>
      <c r="L83" s="27"/>
      <c r="M83" s="27"/>
      <c r="N83" s="12"/>
      <c r="O83" s="12"/>
      <c r="P83" s="12"/>
      <c r="Q83" s="12"/>
      <c r="R83" s="12"/>
      <c r="S83" s="12"/>
      <c r="T83" s="12"/>
      <c r="U83" s="12"/>
      <c r="V83" s="321"/>
      <c r="W83" s="321"/>
      <c r="X83" s="321"/>
      <c r="Y83" s="321"/>
      <c r="Z83" s="321"/>
      <c r="AA83" s="321"/>
      <c r="AB83" s="321"/>
      <c r="AC83" s="321"/>
      <c r="AD83" s="321"/>
      <c r="AE83" s="321"/>
      <c r="AF83" s="321"/>
      <c r="AG83" s="321"/>
      <c r="AH83" s="321"/>
      <c r="AI83" s="321"/>
      <c r="AJ83" s="321"/>
      <c r="AK83" s="321"/>
      <c r="AL83" s="321"/>
      <c r="AM83" s="321"/>
      <c r="AN83" s="321"/>
      <c r="AO83" s="321"/>
    </row>
    <row r="84" spans="1:41" ht="25.5">
      <c r="A84" s="27"/>
      <c r="B84" s="341" t="s">
        <v>210</v>
      </c>
      <c r="C84" s="300" t="s">
        <v>127</v>
      </c>
      <c r="D84" s="176">
        <v>7700000</v>
      </c>
      <c r="E84" s="176">
        <f>IF(AND($B$80&gt;=$D$84,$B$80&lt;$D$85),ROUNDDOWN($B$80*0.95,0)-1455000,0)</f>
        <v>0</v>
      </c>
      <c r="F84" s="176">
        <f>IF(AND($B$80&gt;=$D$84,$B$80&lt;$D$85),ROUNDDOWN($B$80*0.95,0)-1355000,0)</f>
        <v>0</v>
      </c>
      <c r="G84" s="235">
        <f>IF(AND($B$80&gt;=$D$84,$B$80&lt;$D$85),ROUNDDOWN($B$80*0.95,0)-1255000,0)</f>
        <v>0</v>
      </c>
      <c r="H84" s="73">
        <v>7700000</v>
      </c>
      <c r="I84" s="176">
        <f>IF(AND($B$80&gt;=$H$84,$B$80&lt;$H$85),ROUNDDOWN($B$80*0.95,0)-1455000,0)</f>
        <v>0</v>
      </c>
      <c r="J84" s="176">
        <f>IF(AND($B$80&gt;=$H$84,$B$80&lt;$H$85),ROUNDDOWN($B$80*0.95,0)-1355000,0)</f>
        <v>0</v>
      </c>
      <c r="K84" s="176">
        <f>IF(AND($B$80&gt;=$H$84,$B$80&lt;$H$85),ROUNDDOWN($B$80*0.95,0)-1255000,0)</f>
        <v>0</v>
      </c>
      <c r="L84" s="27"/>
      <c r="M84" s="27"/>
      <c r="N84" s="12"/>
      <c r="O84" s="12"/>
      <c r="P84" s="12"/>
      <c r="Q84" s="12"/>
      <c r="R84" s="12"/>
      <c r="S84" s="12"/>
      <c r="T84" s="12"/>
      <c r="U84" s="12"/>
      <c r="V84" s="321"/>
      <c r="W84" s="321"/>
      <c r="X84" s="321"/>
      <c r="Y84" s="321"/>
      <c r="Z84" s="321"/>
      <c r="AA84" s="321"/>
      <c r="AB84" s="321"/>
      <c r="AC84" s="321"/>
      <c r="AD84" s="321"/>
      <c r="AE84" s="321"/>
      <c r="AF84" s="321"/>
      <c r="AG84" s="321"/>
      <c r="AH84" s="321"/>
      <c r="AI84" s="321"/>
      <c r="AJ84" s="321"/>
      <c r="AK84" s="321"/>
      <c r="AL84" s="321"/>
      <c r="AM84" s="321"/>
      <c r="AN84" s="321"/>
      <c r="AO84" s="321"/>
    </row>
    <row r="85" spans="1:41">
      <c r="A85" s="27"/>
      <c r="B85" s="349">
        <f>IF(B83=1,IF(C80-150000&lt;0,0,C80-150000),C80)</f>
        <v>0</v>
      </c>
      <c r="C85" s="28">
        <f>IF(Q12&lt;=10000000,1,IF(Q12&lt;=20000000,2,3))</f>
        <v>1</v>
      </c>
      <c r="D85" s="77">
        <v>10000001</v>
      </c>
      <c r="E85" s="77">
        <f>IF($B$80&gt;=$D$85,$B$80-1955000,0)</f>
        <v>0</v>
      </c>
      <c r="F85" s="77">
        <f>IF($B$80&gt;=$D$85,$B$80-1855000,0)</f>
        <v>0</v>
      </c>
      <c r="G85" s="236">
        <f>IF($B$80&gt;=$D$85,$B$80-1755000,0)</f>
        <v>0</v>
      </c>
      <c r="H85" s="74">
        <v>10000001</v>
      </c>
      <c r="I85" s="77">
        <f>IF($B$80&gt;=$H$85,$B$80-1955000,0)</f>
        <v>0</v>
      </c>
      <c r="J85" s="77">
        <f>IF($B$80&gt;=$H$85,$B$80-1855000,0)</f>
        <v>0</v>
      </c>
      <c r="K85" s="77">
        <f>IF($B$80&gt;=$H$85,$B$80-1755000,0)</f>
        <v>0</v>
      </c>
      <c r="L85" s="27"/>
      <c r="M85" s="27"/>
      <c r="N85" s="12"/>
      <c r="O85" s="12"/>
      <c r="P85" s="12"/>
      <c r="Q85" s="12"/>
      <c r="R85" s="12"/>
      <c r="S85" s="12"/>
      <c r="T85" s="12"/>
      <c r="U85" s="12"/>
      <c r="V85" s="321"/>
      <c r="W85" s="321"/>
      <c r="X85" s="321"/>
      <c r="Y85" s="321"/>
      <c r="Z85" s="321"/>
      <c r="AA85" s="321"/>
      <c r="AB85" s="321"/>
      <c r="AC85" s="321"/>
      <c r="AD85" s="321"/>
      <c r="AE85" s="321"/>
      <c r="AF85" s="321"/>
      <c r="AG85" s="321"/>
      <c r="AH85" s="321"/>
      <c r="AI85" s="321"/>
      <c r="AJ85" s="321"/>
      <c r="AK85" s="321"/>
      <c r="AL85" s="321"/>
      <c r="AM85" s="321"/>
      <c r="AN85" s="321"/>
      <c r="AO85" s="321"/>
    </row>
    <row r="86" spans="1:41" s="166" customFormat="1">
      <c r="A86" s="27"/>
      <c r="B86" s="27"/>
      <c r="C86" s="27"/>
      <c r="D86" s="287"/>
      <c r="E86" s="287"/>
      <c r="F86" s="287"/>
      <c r="G86" s="287"/>
      <c r="H86" s="287"/>
      <c r="I86" s="287"/>
      <c r="J86" s="287"/>
      <c r="K86" s="287"/>
      <c r="L86" s="27"/>
      <c r="M86" s="27"/>
      <c r="N86" s="12"/>
      <c r="O86" s="12"/>
      <c r="P86" s="12"/>
      <c r="Q86" s="12"/>
      <c r="R86" s="12"/>
      <c r="S86" s="12"/>
      <c r="T86" s="12"/>
      <c r="U86" s="12"/>
      <c r="V86" s="321"/>
      <c r="W86" s="321"/>
      <c r="X86" s="321"/>
      <c r="Y86" s="321"/>
      <c r="Z86" s="321"/>
      <c r="AA86" s="321"/>
      <c r="AB86" s="321"/>
      <c r="AC86" s="321"/>
      <c r="AD86" s="321"/>
      <c r="AE86" s="321"/>
      <c r="AF86" s="321"/>
      <c r="AG86" s="321"/>
      <c r="AH86" s="321"/>
      <c r="AI86" s="321"/>
      <c r="AJ86" s="321"/>
      <c r="AK86" s="321"/>
      <c r="AL86" s="321"/>
      <c r="AM86" s="321"/>
      <c r="AN86" s="321"/>
      <c r="AO86" s="321"/>
    </row>
    <row r="87" spans="1:41" s="166" customFormat="1">
      <c r="A87" s="27"/>
      <c r="B87" s="27"/>
      <c r="C87" s="27"/>
      <c r="D87" s="467" t="s">
        <v>128</v>
      </c>
      <c r="E87" s="468"/>
      <c r="F87" s="468"/>
      <c r="G87" s="469"/>
      <c r="H87" s="470" t="s">
        <v>64</v>
      </c>
      <c r="I87" s="471"/>
      <c r="J87" s="471"/>
      <c r="K87" s="472"/>
      <c r="L87" s="27"/>
      <c r="M87" s="27"/>
      <c r="N87" s="12"/>
      <c r="O87" s="12"/>
      <c r="P87" s="12"/>
      <c r="Q87" s="12"/>
      <c r="R87" s="12"/>
      <c r="S87" s="12"/>
      <c r="T87" s="12"/>
      <c r="U87" s="12"/>
      <c r="V87" s="321"/>
      <c r="W87" s="321"/>
      <c r="X87" s="321"/>
      <c r="Y87" s="321"/>
      <c r="Z87" s="321"/>
      <c r="AA87" s="321"/>
      <c r="AB87" s="321"/>
      <c r="AC87" s="321"/>
      <c r="AD87" s="321"/>
      <c r="AE87" s="321"/>
      <c r="AF87" s="321"/>
      <c r="AG87" s="321"/>
      <c r="AH87" s="321"/>
      <c r="AI87" s="321"/>
      <c r="AJ87" s="321"/>
      <c r="AK87" s="321"/>
      <c r="AL87" s="321"/>
      <c r="AM87" s="321"/>
      <c r="AN87" s="321"/>
      <c r="AO87" s="321"/>
    </row>
    <row r="88" spans="1:41">
      <c r="A88" s="27" t="s">
        <v>34</v>
      </c>
      <c r="B88" s="33" t="s">
        <v>61</v>
      </c>
      <c r="C88" s="34" t="s">
        <v>62</v>
      </c>
      <c r="D88" s="171" t="s">
        <v>129</v>
      </c>
      <c r="E88" s="18" t="s">
        <v>131</v>
      </c>
      <c r="F88" s="171" t="s">
        <v>132</v>
      </c>
      <c r="G88" s="173" t="s">
        <v>133</v>
      </c>
      <c r="H88" s="172" t="s">
        <v>130</v>
      </c>
      <c r="I88" s="18" t="s">
        <v>131</v>
      </c>
      <c r="J88" s="171" t="s">
        <v>132</v>
      </c>
      <c r="K88" s="18" t="s">
        <v>133</v>
      </c>
      <c r="L88" s="27"/>
      <c r="M88" s="27"/>
      <c r="N88" s="12"/>
      <c r="O88" s="12"/>
      <c r="P88" s="12"/>
      <c r="Q88" s="12"/>
      <c r="R88" s="12"/>
      <c r="S88" s="12"/>
      <c r="T88" s="12"/>
      <c r="U88" s="12"/>
      <c r="V88" s="321"/>
      <c r="W88" s="321"/>
      <c r="X88" s="321"/>
      <c r="Y88" s="321"/>
      <c r="Z88" s="321"/>
      <c r="AA88" s="321"/>
      <c r="AB88" s="321"/>
      <c r="AC88" s="321"/>
      <c r="AD88" s="321"/>
      <c r="AE88" s="321"/>
      <c r="AF88" s="321"/>
      <c r="AG88" s="321"/>
      <c r="AH88" s="321"/>
      <c r="AI88" s="321"/>
      <c r="AJ88" s="321"/>
      <c r="AK88" s="321"/>
      <c r="AL88" s="321"/>
      <c r="AM88" s="321"/>
      <c r="AN88" s="321"/>
      <c r="AO88" s="321"/>
    </row>
    <row r="89" spans="1:41">
      <c r="A89" s="27"/>
      <c r="B89" s="297">
        <f>N13</f>
        <v>0</v>
      </c>
      <c r="C89" s="295">
        <f>IF(B92=0,IF(C94=1,MAX(E89:E94),IF(C94=2,MAX(F89:F94),MAX(G89:G94))),IF(C94=1,MAX(I89:I94),IF(C94=2,MAX(J89:J94),MAX(K89:K94))))</f>
        <v>0</v>
      </c>
      <c r="D89" s="174">
        <v>0</v>
      </c>
      <c r="E89" s="233">
        <f>IF($B$89&lt;$D$90,0,0)</f>
        <v>0</v>
      </c>
      <c r="F89" s="233">
        <f>IF($B$89&lt;$D$90,$B$89-1000000,0)</f>
        <v>-1000000</v>
      </c>
      <c r="G89" s="234">
        <f>IF($B$89&lt;$D$90,$B$89-900000,0)</f>
        <v>-900000</v>
      </c>
      <c r="H89" s="175">
        <v>0</v>
      </c>
      <c r="I89" s="233">
        <f>IF($B$89&lt;$H$90,0,0)</f>
        <v>0</v>
      </c>
      <c r="J89" s="233">
        <f>IF($B$89&lt;$H$90,$B$89-1000000,0)</f>
        <v>-1000000</v>
      </c>
      <c r="K89" s="233">
        <f>IF($B$89&lt;$H$90,$B$89-900000,0)</f>
        <v>-900000</v>
      </c>
      <c r="L89" s="27"/>
      <c r="M89" s="27"/>
      <c r="N89" s="12"/>
      <c r="O89" s="12"/>
      <c r="P89" s="12"/>
      <c r="Q89" s="12"/>
      <c r="R89" s="12"/>
      <c r="S89" s="12"/>
      <c r="T89" s="12"/>
      <c r="U89" s="12"/>
      <c r="V89" s="321"/>
      <c r="W89" s="321"/>
      <c r="X89" s="321"/>
      <c r="Y89" s="321"/>
      <c r="Z89" s="321"/>
      <c r="AA89" s="321"/>
      <c r="AB89" s="321"/>
      <c r="AC89" s="321"/>
      <c r="AD89" s="321"/>
      <c r="AE89" s="321"/>
      <c r="AF89" s="321"/>
      <c r="AG89" s="321"/>
      <c r="AH89" s="321"/>
      <c r="AI89" s="321"/>
      <c r="AJ89" s="321"/>
      <c r="AK89" s="321"/>
      <c r="AL89" s="321"/>
      <c r="AM89" s="321"/>
      <c r="AN89" s="321"/>
      <c r="AO89" s="321"/>
    </row>
    <row r="90" spans="1:41">
      <c r="A90" s="27"/>
      <c r="B90" s="296" t="s">
        <v>134</v>
      </c>
      <c r="C90" s="27">
        <f>IF(R55=1,0,IF(OR(AND(B92=1,B89&gt;1250000),AND(B92=0,B89&gt;600000)),1,0))</f>
        <v>0</v>
      </c>
      <c r="D90" s="176">
        <v>600001</v>
      </c>
      <c r="E90" s="176">
        <f>IF(AND($B$89&gt;=$D$90,$B$89&lt;$D$91),$B$89-600000,0)</f>
        <v>0</v>
      </c>
      <c r="F90" s="176">
        <f>IF(AND($B$89&gt;=$D$90,$B$89&lt;$D$91),$B$89-500000,0)</f>
        <v>0</v>
      </c>
      <c r="G90" s="235">
        <f>IF(AND($B$89&gt;=$D$90,$B$89&lt;$D$91),$B$89-400000,0)</f>
        <v>0</v>
      </c>
      <c r="H90" s="73">
        <v>1100001</v>
      </c>
      <c r="I90" s="176">
        <f>IF(AND($B$89&gt;=$H$90,$B$89&lt;$H$91),$B$89-1100000,0)</f>
        <v>0</v>
      </c>
      <c r="J90" s="176">
        <f>IF(AND($B$89&gt;=$H$90,$B$89&lt;$H$91),$B$89-1000000,0)</f>
        <v>0</v>
      </c>
      <c r="K90" s="176">
        <f>IF(AND($B$89&gt;=$H$90,$B$89&lt;$H$91),$B$89-900000,0)</f>
        <v>0</v>
      </c>
      <c r="L90" s="27"/>
      <c r="M90" s="27"/>
      <c r="N90" s="12"/>
      <c r="O90" s="12"/>
      <c r="P90" s="12"/>
      <c r="Q90" s="12"/>
      <c r="R90" s="12"/>
      <c r="S90" s="12"/>
      <c r="T90" s="12"/>
      <c r="U90" s="12"/>
      <c r="V90" s="321"/>
      <c r="W90" s="321"/>
      <c r="X90" s="321"/>
      <c r="Y90" s="321"/>
      <c r="Z90" s="321"/>
      <c r="AA90" s="321"/>
      <c r="AB90" s="321"/>
      <c r="AC90" s="321"/>
      <c r="AD90" s="321"/>
      <c r="AE90" s="321"/>
      <c r="AF90" s="321"/>
      <c r="AG90" s="321"/>
      <c r="AH90" s="321"/>
      <c r="AI90" s="321"/>
      <c r="AJ90" s="321"/>
      <c r="AK90" s="321"/>
      <c r="AL90" s="321"/>
      <c r="AM90" s="321"/>
      <c r="AN90" s="321"/>
      <c r="AO90" s="321"/>
    </row>
    <row r="91" spans="1:41" ht="19.5" thickBot="1">
      <c r="A91" s="27"/>
      <c r="B91" s="239" t="s">
        <v>195</v>
      </c>
      <c r="C91" s="243" t="s">
        <v>194</v>
      </c>
      <c r="D91" s="176">
        <v>1300000</v>
      </c>
      <c r="E91" s="176">
        <f>IF(AND($B$89&gt;=$D$91,$B$89&lt;$D$92),ROUNDDOWN($B$89*0.75,0)-275000,0)</f>
        <v>0</v>
      </c>
      <c r="F91" s="176">
        <f>IF(AND($B$89&gt;=$D$91,$B$89&lt;$D$92),ROUNDDOWN($B$89*0.75,0)-175000,0)</f>
        <v>0</v>
      </c>
      <c r="G91" s="235">
        <f>IF(AND($B$89&gt;=$D$91,$B$89&lt;$D$92),ROUNDDOWN($B$89*0.75,0)-75000,0)</f>
        <v>0</v>
      </c>
      <c r="H91" s="73">
        <v>3300000</v>
      </c>
      <c r="I91" s="176">
        <f>IF(AND($B$89&gt;=$H$91,$B$89&lt;$H$92),ROUNDDOWN($B$89*0.75,0)-275000,0)</f>
        <v>0</v>
      </c>
      <c r="J91" s="176">
        <f>IF(AND($B$89&gt;=$H$91,$B$89&lt;$H$92),ROUNDDOWN($B$89*0.75,0)-175000,0)</f>
        <v>0</v>
      </c>
      <c r="K91" s="176">
        <f>IF(AND($B$89&gt;=$H$91,$B$89&lt;$H$92),ROUNDDOWN($B$89*0.75,0)-75000,0)</f>
        <v>0</v>
      </c>
      <c r="L91" s="27"/>
      <c r="M91" s="27"/>
      <c r="N91" s="12"/>
      <c r="O91" s="12"/>
      <c r="P91" s="12"/>
      <c r="Q91" s="12"/>
      <c r="R91" s="12"/>
      <c r="S91" s="12"/>
      <c r="T91" s="12"/>
      <c r="U91" s="12"/>
      <c r="V91" s="321"/>
      <c r="W91" s="321"/>
      <c r="X91" s="321"/>
      <c r="Y91" s="321"/>
      <c r="Z91" s="321"/>
      <c r="AA91" s="321"/>
      <c r="AB91" s="321"/>
      <c r="AC91" s="321"/>
      <c r="AD91" s="321"/>
      <c r="AE91" s="321"/>
      <c r="AF91" s="321"/>
      <c r="AG91" s="321"/>
      <c r="AH91" s="321"/>
      <c r="AI91" s="321"/>
      <c r="AJ91" s="321"/>
      <c r="AK91" s="321"/>
      <c r="AL91" s="321"/>
      <c r="AM91" s="321"/>
      <c r="AN91" s="321"/>
      <c r="AO91" s="321"/>
    </row>
    <row r="92" spans="1:41" ht="13.5" thickBot="1">
      <c r="A92" s="27"/>
      <c r="B92" s="299">
        <f>IF(C92="自動",IF($B$68="生年月日",IF(R22&gt;64,1,0),IF(OR(B13=1,B13&gt;3),1,0)),IF(C92="65歳以上",1,0))</f>
        <v>1</v>
      </c>
      <c r="C92" s="320" t="s">
        <v>219</v>
      </c>
      <c r="D92" s="176">
        <v>4100000</v>
      </c>
      <c r="E92" s="176">
        <f>IF(AND($B$89&gt;=$D$92,$B$89&lt;$D$93),ROUNDDOWN($B$89*0.85,0)-685000,0)</f>
        <v>0</v>
      </c>
      <c r="F92" s="176">
        <f>IF(AND($B$89&gt;=$D$92,$B$89&lt;$D$93),ROUNDDOWN($B$89*0.85,0)-585000,0)</f>
        <v>0</v>
      </c>
      <c r="G92" s="235">
        <f>IF(AND($B$89&gt;=$D$92,$B$89&lt;$D$93),ROUNDDOWN($B$89*0.85,0)-485000,0)</f>
        <v>0</v>
      </c>
      <c r="H92" s="73">
        <v>4100000</v>
      </c>
      <c r="I92" s="176">
        <f>IF(AND($B$89&gt;=$H$92,$B$89&lt;$H$93),ROUNDDOWN($B$89*0.85,0)-685000,0)</f>
        <v>0</v>
      </c>
      <c r="J92" s="176">
        <f>IF(AND($B$89&gt;=$H$92,$B$89&lt;$H$93),ROUNDDOWN($B$89*0.85,0)-585000,0)</f>
        <v>0</v>
      </c>
      <c r="K92" s="176">
        <f>IF(AND($B$89&gt;=$H$92,$B$89&lt;$H$93),ROUNDDOWN($B$89*0.85,0)-485000,0)</f>
        <v>0</v>
      </c>
      <c r="L92" s="27"/>
      <c r="M92" s="27"/>
      <c r="N92" s="12"/>
      <c r="O92" s="12"/>
      <c r="P92" s="12"/>
      <c r="Q92" s="12"/>
      <c r="R92" s="12"/>
      <c r="S92" s="12"/>
      <c r="T92" s="12"/>
      <c r="U92" s="12"/>
      <c r="V92" s="321"/>
      <c r="W92" s="321"/>
      <c r="X92" s="321"/>
      <c r="Y92" s="321"/>
      <c r="Z92" s="321"/>
      <c r="AA92" s="321"/>
      <c r="AB92" s="321"/>
      <c r="AC92" s="321"/>
      <c r="AD92" s="321"/>
      <c r="AE92" s="321"/>
      <c r="AF92" s="321"/>
      <c r="AG92" s="321"/>
      <c r="AH92" s="321"/>
      <c r="AI92" s="321"/>
      <c r="AJ92" s="321"/>
      <c r="AK92" s="321"/>
      <c r="AL92" s="321"/>
      <c r="AM92" s="321"/>
      <c r="AN92" s="321"/>
      <c r="AO92" s="321"/>
    </row>
    <row r="93" spans="1:41" ht="25.5">
      <c r="A93" s="27"/>
      <c r="B93" s="341" t="s">
        <v>210</v>
      </c>
      <c r="C93" s="300" t="s">
        <v>127</v>
      </c>
      <c r="D93" s="176">
        <v>7700000</v>
      </c>
      <c r="E93" s="176">
        <f>IF(AND($B$89&gt;=$D$93,$B$89&lt;$D$94),ROUNDDOWN($B$89*0.95,0)-1455000,0)</f>
        <v>0</v>
      </c>
      <c r="F93" s="176">
        <f>IF(AND($B$89&gt;=$D$93,$B$89&lt;$D$94),ROUNDDOWN($B$89*0.95,0)-1355000,0)</f>
        <v>0</v>
      </c>
      <c r="G93" s="235">
        <f>IF(AND($B$89&gt;=$D$93,$B$89&lt;$D$94),ROUNDDOWN($B$89*0.95,0)-1255000,0)</f>
        <v>0</v>
      </c>
      <c r="H93" s="73">
        <v>7700000</v>
      </c>
      <c r="I93" s="176">
        <f>IF(AND($B$89&gt;=$H$93,$B$89&lt;$H$94),ROUNDDOWN($B$89*0.95,0)-1455000,0)</f>
        <v>0</v>
      </c>
      <c r="J93" s="176">
        <f>IF(AND($B$89&gt;=$H$93,$B$89&lt;$H$94),ROUNDDOWN($B$89*0.95,0)-1355000,0)</f>
        <v>0</v>
      </c>
      <c r="K93" s="176">
        <f>IF(AND($B$89&gt;=$H$93,$B$89&lt;$H$94),ROUNDDOWN($B$89*0.95,0)-1255000,0)</f>
        <v>0</v>
      </c>
      <c r="L93" s="27"/>
      <c r="M93" s="27"/>
      <c r="N93" s="12"/>
      <c r="O93" s="12"/>
      <c r="P93" s="12"/>
      <c r="Q93" s="12"/>
      <c r="R93" s="12"/>
      <c r="S93" s="12"/>
      <c r="T93" s="12"/>
      <c r="U93" s="12"/>
      <c r="V93" s="321"/>
      <c r="W93" s="321"/>
      <c r="X93" s="321"/>
      <c r="Y93" s="321"/>
      <c r="Z93" s="321"/>
      <c r="AA93" s="321"/>
      <c r="AB93" s="321"/>
      <c r="AC93" s="321"/>
      <c r="AD93" s="321"/>
      <c r="AE93" s="321"/>
      <c r="AF93" s="321"/>
      <c r="AG93" s="321"/>
      <c r="AH93" s="321"/>
      <c r="AI93" s="321"/>
      <c r="AJ93" s="321"/>
      <c r="AK93" s="321"/>
      <c r="AL93" s="321"/>
      <c r="AM93" s="321"/>
      <c r="AN93" s="321"/>
      <c r="AO93" s="321"/>
    </row>
    <row r="94" spans="1:41">
      <c r="A94" s="27"/>
      <c r="B94" s="349">
        <f>IF(B92=1,IF(C89-150000&lt;0,0,C89-150000),C89)</f>
        <v>0</v>
      </c>
      <c r="C94" s="28">
        <f>IF(Q13&lt;=10000000,1,IF(Q13&lt;=20000000,2,3))</f>
        <v>1</v>
      </c>
      <c r="D94" s="77">
        <v>10000001</v>
      </c>
      <c r="E94" s="77">
        <f>IF($B$89&gt;=$D$94,$B$89-1955000,0)</f>
        <v>0</v>
      </c>
      <c r="F94" s="77">
        <f>IF($B$89&gt;=$D$94,$B$89-1855000,0)</f>
        <v>0</v>
      </c>
      <c r="G94" s="236">
        <f>IF($B$89&gt;=$D$94,$B$89-1755000,0)</f>
        <v>0</v>
      </c>
      <c r="H94" s="74">
        <v>10000001</v>
      </c>
      <c r="I94" s="77">
        <f>IF($B$89&gt;=$H$94,$B$89-1955000,0)</f>
        <v>0</v>
      </c>
      <c r="J94" s="77">
        <f>IF($B$89&gt;=$H$94,$B$89-1855000,0)</f>
        <v>0</v>
      </c>
      <c r="K94" s="77">
        <f>IF($B$89&gt;=$H$94,$B$89-1755000,0)</f>
        <v>0</v>
      </c>
      <c r="L94" s="27"/>
      <c r="M94" s="27"/>
      <c r="N94" s="12"/>
      <c r="O94" s="12"/>
      <c r="P94" s="12"/>
      <c r="Q94" s="12"/>
      <c r="R94" s="12"/>
      <c r="S94" s="12"/>
      <c r="T94" s="12"/>
      <c r="U94" s="12"/>
      <c r="V94" s="321"/>
      <c r="W94" s="321"/>
      <c r="X94" s="321"/>
      <c r="Y94" s="321"/>
      <c r="Z94" s="321"/>
      <c r="AA94" s="321"/>
      <c r="AB94" s="321"/>
      <c r="AC94" s="321"/>
      <c r="AD94" s="321"/>
      <c r="AE94" s="321"/>
      <c r="AF94" s="321"/>
      <c r="AG94" s="321"/>
      <c r="AH94" s="321"/>
      <c r="AI94" s="321"/>
      <c r="AJ94" s="321"/>
      <c r="AK94" s="321"/>
      <c r="AL94" s="321"/>
      <c r="AM94" s="321"/>
      <c r="AN94" s="321"/>
      <c r="AO94" s="321"/>
    </row>
    <row r="95" spans="1:41" s="166" customFormat="1">
      <c r="A95" s="27"/>
      <c r="B95" s="27"/>
      <c r="C95" s="27"/>
      <c r="D95" s="287"/>
      <c r="E95" s="287"/>
      <c r="F95" s="287"/>
      <c r="G95" s="287"/>
      <c r="H95" s="287"/>
      <c r="I95" s="287"/>
      <c r="J95" s="287"/>
      <c r="K95" s="287"/>
      <c r="L95" s="27"/>
      <c r="M95" s="27"/>
      <c r="N95" s="12"/>
      <c r="O95" s="12"/>
      <c r="P95" s="12"/>
      <c r="Q95" s="12"/>
      <c r="R95" s="12"/>
      <c r="S95" s="12"/>
      <c r="T95" s="12"/>
      <c r="U95" s="12"/>
      <c r="V95" s="321"/>
      <c r="W95" s="321"/>
      <c r="X95" s="321"/>
      <c r="Y95" s="321"/>
      <c r="Z95" s="321"/>
      <c r="AA95" s="321"/>
      <c r="AB95" s="321"/>
      <c r="AC95" s="321"/>
      <c r="AD95" s="321"/>
      <c r="AE95" s="321"/>
      <c r="AF95" s="321"/>
      <c r="AG95" s="321"/>
      <c r="AH95" s="321"/>
      <c r="AI95" s="321"/>
      <c r="AJ95" s="321"/>
      <c r="AK95" s="321"/>
      <c r="AL95" s="321"/>
      <c r="AM95" s="321"/>
      <c r="AN95" s="321"/>
      <c r="AO95" s="321"/>
    </row>
    <row r="96" spans="1:41" s="166" customFormat="1">
      <c r="A96" s="27"/>
      <c r="B96" s="27"/>
      <c r="C96" s="27"/>
      <c r="D96" s="467" t="s">
        <v>128</v>
      </c>
      <c r="E96" s="468"/>
      <c r="F96" s="468"/>
      <c r="G96" s="469"/>
      <c r="H96" s="470" t="s">
        <v>64</v>
      </c>
      <c r="I96" s="471"/>
      <c r="J96" s="471"/>
      <c r="K96" s="472"/>
      <c r="L96" s="27"/>
      <c r="M96" s="27"/>
      <c r="N96" s="12"/>
      <c r="O96" s="12"/>
      <c r="P96" s="12"/>
      <c r="Q96" s="12"/>
      <c r="R96" s="12"/>
      <c r="S96" s="12"/>
      <c r="T96" s="12"/>
      <c r="U96" s="12"/>
      <c r="V96" s="321"/>
      <c r="W96" s="321"/>
      <c r="X96" s="321"/>
      <c r="Y96" s="321"/>
      <c r="Z96" s="321"/>
      <c r="AA96" s="321"/>
      <c r="AB96" s="321"/>
      <c r="AC96" s="321"/>
      <c r="AD96" s="321"/>
      <c r="AE96" s="321"/>
      <c r="AF96" s="321"/>
      <c r="AG96" s="321"/>
      <c r="AH96" s="321"/>
      <c r="AI96" s="321"/>
      <c r="AJ96" s="321"/>
      <c r="AK96" s="321"/>
      <c r="AL96" s="321"/>
      <c r="AM96" s="321"/>
      <c r="AN96" s="321"/>
      <c r="AO96" s="321"/>
    </row>
    <row r="97" spans="1:41">
      <c r="A97" s="27" t="s">
        <v>35</v>
      </c>
      <c r="B97" s="33" t="s">
        <v>61</v>
      </c>
      <c r="C97" s="34" t="s">
        <v>62</v>
      </c>
      <c r="D97" s="171" t="s">
        <v>129</v>
      </c>
      <c r="E97" s="18" t="s">
        <v>131</v>
      </c>
      <c r="F97" s="171" t="s">
        <v>132</v>
      </c>
      <c r="G97" s="173" t="s">
        <v>133</v>
      </c>
      <c r="H97" s="172" t="s">
        <v>130</v>
      </c>
      <c r="I97" s="18" t="s">
        <v>131</v>
      </c>
      <c r="J97" s="171" t="s">
        <v>132</v>
      </c>
      <c r="K97" s="18" t="s">
        <v>133</v>
      </c>
      <c r="L97" s="27"/>
      <c r="M97" s="27"/>
      <c r="N97" s="12"/>
      <c r="O97" s="12"/>
      <c r="P97" s="12"/>
      <c r="Q97" s="12"/>
      <c r="R97" s="12"/>
      <c r="S97" s="12"/>
      <c r="T97" s="12"/>
      <c r="U97" s="12"/>
      <c r="V97" s="321"/>
      <c r="W97" s="321"/>
      <c r="X97" s="321"/>
      <c r="Y97" s="321"/>
      <c r="Z97" s="321"/>
      <c r="AA97" s="321"/>
      <c r="AB97" s="321"/>
      <c r="AC97" s="321"/>
      <c r="AD97" s="321"/>
      <c r="AE97" s="321"/>
      <c r="AF97" s="321"/>
      <c r="AG97" s="321"/>
      <c r="AH97" s="321"/>
      <c r="AI97" s="321"/>
      <c r="AJ97" s="321"/>
      <c r="AK97" s="321"/>
      <c r="AL97" s="321"/>
      <c r="AM97" s="321"/>
      <c r="AN97" s="321"/>
      <c r="AO97" s="321"/>
    </row>
    <row r="98" spans="1:41">
      <c r="A98" s="27"/>
      <c r="B98" s="297">
        <f>N14</f>
        <v>0</v>
      </c>
      <c r="C98" s="295">
        <f>IF(B101=0,IF(C103=1,MAX(E98:E103),IF(C103=2,MAX(F98:F103),MAX(G98:G103))),IF(C103=1,MAX(I98:I103),IF(C103=2,MAX(J98:J103),MAX(K98:K103))))</f>
        <v>0</v>
      </c>
      <c r="D98" s="174">
        <v>0</v>
      </c>
      <c r="E98" s="233">
        <f>IF($B$98&lt;$D$99,0,0)</f>
        <v>0</v>
      </c>
      <c r="F98" s="233">
        <f>IF($B$98&lt;$D$99,$B$98-1000000,0)</f>
        <v>-1000000</v>
      </c>
      <c r="G98" s="234">
        <f>IF($B$98&lt;$D$99,$B$98-900000,0)</f>
        <v>-900000</v>
      </c>
      <c r="H98" s="175">
        <v>0</v>
      </c>
      <c r="I98" s="233">
        <f>IF($B$98&lt;$H$99,0,0)</f>
        <v>0</v>
      </c>
      <c r="J98" s="233">
        <f>IF($B$98&lt;$H$99,$B$98-1000000,0)</f>
        <v>-1000000</v>
      </c>
      <c r="K98" s="233">
        <f>IF($B$98&lt;$H$99,$B$98-900000,0)</f>
        <v>-900000</v>
      </c>
      <c r="L98" s="27"/>
      <c r="M98" s="27"/>
      <c r="N98" s="12"/>
      <c r="O98" s="12"/>
      <c r="P98" s="12"/>
      <c r="Q98" s="12"/>
      <c r="R98" s="12"/>
      <c r="S98" s="12"/>
      <c r="T98" s="12"/>
      <c r="U98" s="12"/>
      <c r="V98" s="321"/>
      <c r="W98" s="321"/>
      <c r="X98" s="321"/>
      <c r="Y98" s="321"/>
      <c r="Z98" s="321"/>
      <c r="AA98" s="321"/>
      <c r="AB98" s="321"/>
      <c r="AC98" s="321"/>
      <c r="AD98" s="321"/>
      <c r="AE98" s="321"/>
      <c r="AF98" s="321"/>
      <c r="AG98" s="321"/>
      <c r="AH98" s="321"/>
      <c r="AI98" s="321"/>
      <c r="AJ98" s="321"/>
      <c r="AK98" s="321"/>
      <c r="AL98" s="321"/>
      <c r="AM98" s="321"/>
      <c r="AN98" s="321"/>
      <c r="AO98" s="321"/>
    </row>
    <row r="99" spans="1:41">
      <c r="A99" s="27"/>
      <c r="B99" s="296" t="s">
        <v>134</v>
      </c>
      <c r="C99" s="27">
        <f>IF(R56=1,0,IF(OR(AND(B101=1,B98&gt;1250000),AND(B101=0,B98&gt;600000)),1,0))</f>
        <v>0</v>
      </c>
      <c r="D99" s="176">
        <v>600001</v>
      </c>
      <c r="E99" s="176">
        <f>IF(AND($B$98&gt;=$D$99,$B$98&lt;$D$100),$B$98-600000,0)</f>
        <v>0</v>
      </c>
      <c r="F99" s="176">
        <f>IF(AND($B$98&gt;=$D$99,$B$98&lt;$D$100),$B$98-500000,0)</f>
        <v>0</v>
      </c>
      <c r="G99" s="235">
        <f>IF(AND($B$98&gt;=$D$99,$B$98&lt;$D$100),$B$98-400000,0)</f>
        <v>0</v>
      </c>
      <c r="H99" s="73">
        <v>1100001</v>
      </c>
      <c r="I99" s="176">
        <f>IF(AND($B$98&gt;=$H$99,$B$98&lt;$H$100),$B$98-1100000,0)</f>
        <v>0</v>
      </c>
      <c r="J99" s="176">
        <f>IF(AND($B$98&gt;=$H$99,$B$98&lt;$H$100),$B$98-1000000,0)</f>
        <v>0</v>
      </c>
      <c r="K99" s="176">
        <f>IF(AND($B$98&gt;=$H$99,$B$98&lt;$H$100),$B$98-900000,0)</f>
        <v>0</v>
      </c>
      <c r="L99" s="27"/>
      <c r="M99" s="27"/>
      <c r="N99" s="12"/>
      <c r="O99" s="12"/>
      <c r="P99" s="12"/>
      <c r="Q99" s="12"/>
      <c r="R99" s="12"/>
      <c r="S99" s="12"/>
      <c r="T99" s="12"/>
      <c r="U99" s="12"/>
      <c r="V99" s="321"/>
      <c r="W99" s="321"/>
      <c r="X99" s="321"/>
      <c r="Y99" s="321"/>
      <c r="Z99" s="321"/>
      <c r="AA99" s="321"/>
      <c r="AB99" s="321"/>
      <c r="AC99" s="321"/>
      <c r="AD99" s="321"/>
      <c r="AE99" s="321"/>
      <c r="AF99" s="321"/>
      <c r="AG99" s="321"/>
      <c r="AH99" s="321"/>
      <c r="AI99" s="321"/>
      <c r="AJ99" s="321"/>
      <c r="AK99" s="321"/>
      <c r="AL99" s="321"/>
      <c r="AM99" s="321"/>
      <c r="AN99" s="321"/>
      <c r="AO99" s="321"/>
    </row>
    <row r="100" spans="1:41" ht="19.5" thickBot="1">
      <c r="A100" s="27"/>
      <c r="B100" s="239" t="s">
        <v>195</v>
      </c>
      <c r="C100" s="243" t="s">
        <v>194</v>
      </c>
      <c r="D100" s="176">
        <v>1300000</v>
      </c>
      <c r="E100" s="176">
        <f>IF(AND($B$98&gt;=$D$100,$B$98&lt;$D$101),ROUNDDOWN($B$98*0.75,0)-275000,0)</f>
        <v>0</v>
      </c>
      <c r="F100" s="176">
        <f>IF(AND($B$98&gt;=$D$100,$B$98&lt;$D$101),ROUNDDOWN($B$98*0.75,0)-175000,0)</f>
        <v>0</v>
      </c>
      <c r="G100" s="235">
        <f>IF(AND($B$98&gt;=$D$100,$B$98&lt;$D$101),ROUNDDOWN($B$98*0.75,0)-75000,0)</f>
        <v>0</v>
      </c>
      <c r="H100" s="73">
        <v>3300000</v>
      </c>
      <c r="I100" s="176">
        <f>IF(AND($B$98&gt;=$H$100,$B$98&lt;$H$101),ROUNDDOWN($B$98*0.75,0)-275000,0)</f>
        <v>0</v>
      </c>
      <c r="J100" s="176">
        <f>IF(AND($B$98&gt;=$H$100,$B$98&lt;$H$101),ROUNDDOWN($B$98*0.75,0)-175000,0)</f>
        <v>0</v>
      </c>
      <c r="K100" s="176">
        <f>IF(AND($B$98&gt;=$H$100,$B$98&lt;$H$101),ROUNDDOWN($B$98*0.75,0)-75000,0)</f>
        <v>0</v>
      </c>
      <c r="L100" s="27"/>
      <c r="M100" s="27"/>
      <c r="N100" s="12"/>
      <c r="O100" s="12"/>
      <c r="P100" s="12"/>
      <c r="Q100" s="12"/>
      <c r="R100" s="12"/>
      <c r="S100" s="12"/>
      <c r="T100" s="12"/>
      <c r="U100" s="12"/>
      <c r="V100" s="321"/>
      <c r="W100" s="321"/>
      <c r="X100" s="321"/>
      <c r="Y100" s="321"/>
      <c r="Z100" s="321"/>
      <c r="AA100" s="321"/>
      <c r="AB100" s="321"/>
      <c r="AC100" s="321"/>
      <c r="AD100" s="321"/>
      <c r="AE100" s="321"/>
      <c r="AF100" s="321"/>
      <c r="AG100" s="321"/>
      <c r="AH100" s="321"/>
      <c r="AI100" s="321"/>
      <c r="AJ100" s="321"/>
      <c r="AK100" s="321"/>
      <c r="AL100" s="321"/>
      <c r="AM100" s="321"/>
      <c r="AN100" s="321"/>
      <c r="AO100" s="321"/>
    </row>
    <row r="101" spans="1:41" ht="13.5" thickBot="1">
      <c r="A101" s="27"/>
      <c r="B101" s="299">
        <f>IF(C101="自動",IF($B$68="生年月日",IF(R23&gt;64,1,0),IF(OR(B14=1,B14&gt;3),1,0)),IF(C101="65歳以上",1,0))</f>
        <v>1</v>
      </c>
      <c r="C101" s="320" t="s">
        <v>219</v>
      </c>
      <c r="D101" s="176">
        <v>4100000</v>
      </c>
      <c r="E101" s="176">
        <f>IF(AND($B$98&gt;=$D$101,$B$98&lt;$D$102),ROUNDDOWN($B$98*0.85,0)-685000,0)</f>
        <v>0</v>
      </c>
      <c r="F101" s="176">
        <f>IF(AND($B$98&gt;=$D$101,$B$98&lt;$D$102),ROUNDDOWN($B$98*0.85,0)-585000,0)</f>
        <v>0</v>
      </c>
      <c r="G101" s="235">
        <f>IF(AND($B$98&gt;=$D$101,$B$98&lt;$D$102),ROUNDDOWN($B$98*0.85,0)-485000,0)</f>
        <v>0</v>
      </c>
      <c r="H101" s="73">
        <v>4100000</v>
      </c>
      <c r="I101" s="176">
        <f>IF(AND($B$98&gt;=$H$101,$B$98&lt;$H$102),ROUNDDOWN($B$98*0.85,0)-685000,0)</f>
        <v>0</v>
      </c>
      <c r="J101" s="176">
        <f>IF(AND($B$98&gt;=$H$101,$B$98&lt;$H$102),ROUNDDOWN($B$98*0.85,0)-585000,0)</f>
        <v>0</v>
      </c>
      <c r="K101" s="176">
        <f>IF(AND($B$98&gt;=$H$101,$B$98&lt;$H$102),ROUNDDOWN($B$98*0.85,0)-485000,0)</f>
        <v>0</v>
      </c>
      <c r="L101" s="27"/>
      <c r="M101" s="27"/>
      <c r="N101" s="12"/>
      <c r="O101" s="12"/>
      <c r="P101" s="12"/>
      <c r="Q101" s="12"/>
      <c r="R101" s="12"/>
      <c r="S101" s="12"/>
      <c r="T101" s="12"/>
      <c r="U101" s="12"/>
      <c r="V101" s="321"/>
      <c r="W101" s="321"/>
      <c r="X101" s="321"/>
      <c r="Y101" s="321"/>
      <c r="Z101" s="321"/>
      <c r="AA101" s="321"/>
      <c r="AB101" s="321"/>
      <c r="AC101" s="321"/>
      <c r="AD101" s="321"/>
      <c r="AE101" s="321"/>
      <c r="AF101" s="321"/>
      <c r="AG101" s="321"/>
      <c r="AH101" s="321"/>
      <c r="AI101" s="321"/>
      <c r="AJ101" s="321"/>
      <c r="AK101" s="321"/>
      <c r="AL101" s="321"/>
      <c r="AM101" s="321"/>
      <c r="AN101" s="321"/>
      <c r="AO101" s="321"/>
    </row>
    <row r="102" spans="1:41" ht="25.5">
      <c r="A102" s="27"/>
      <c r="B102" s="341" t="s">
        <v>210</v>
      </c>
      <c r="C102" s="300" t="s">
        <v>127</v>
      </c>
      <c r="D102" s="176">
        <v>7700000</v>
      </c>
      <c r="E102" s="176">
        <f>IF(AND($B$98&gt;=$D$102,$B$98&lt;$D$103),ROUNDDOWN($B$98*0.95,0)-1455000,0)</f>
        <v>0</v>
      </c>
      <c r="F102" s="176">
        <f>IF(AND($B$98&gt;=$D$102,$B$98&lt;$D$103),ROUNDDOWN($B$98*0.95,0)-1355000,0)</f>
        <v>0</v>
      </c>
      <c r="G102" s="235">
        <f>IF(AND($B$98&gt;=$D$102,$B$98&lt;$D$103),ROUNDDOWN($B$98*0.95,0)-1255000,0)</f>
        <v>0</v>
      </c>
      <c r="H102" s="73">
        <v>7700000</v>
      </c>
      <c r="I102" s="176">
        <f>IF(AND($B$98&gt;=$H$102,$B$98&lt;$H$103),ROUNDDOWN($B$98*0.95,0)-1455000,0)</f>
        <v>0</v>
      </c>
      <c r="J102" s="176">
        <f>IF(AND($B$98&gt;=$H$102,$B$98&lt;$H$103),ROUNDDOWN($B$98*0.95,0)-1355000,0)</f>
        <v>0</v>
      </c>
      <c r="K102" s="176">
        <f>IF(AND($B$98&gt;=$H$102,$B$98&lt;$H$103),ROUNDDOWN($B$98*0.95,0)-1255000,0)</f>
        <v>0</v>
      </c>
      <c r="L102" s="27"/>
      <c r="M102" s="27"/>
      <c r="N102" s="12"/>
      <c r="O102" s="12"/>
      <c r="P102" s="12"/>
      <c r="Q102" s="12"/>
      <c r="R102" s="12"/>
      <c r="S102" s="12"/>
      <c r="T102" s="12"/>
      <c r="U102" s="12"/>
      <c r="V102" s="321"/>
      <c r="W102" s="321"/>
      <c r="X102" s="321"/>
      <c r="Y102" s="321"/>
      <c r="Z102" s="321"/>
      <c r="AA102" s="321"/>
      <c r="AB102" s="321"/>
      <c r="AC102" s="321"/>
      <c r="AD102" s="321"/>
      <c r="AE102" s="321"/>
      <c r="AF102" s="321"/>
      <c r="AG102" s="321"/>
      <c r="AH102" s="321"/>
      <c r="AI102" s="321"/>
      <c r="AJ102" s="321"/>
      <c r="AK102" s="321"/>
      <c r="AL102" s="321"/>
      <c r="AM102" s="321"/>
      <c r="AN102" s="321"/>
      <c r="AO102" s="321"/>
    </row>
    <row r="103" spans="1:41">
      <c r="A103" s="27"/>
      <c r="B103" s="349">
        <f>IF(B101=1,IF(C98-150000&lt;0,0,C98-150000),C98)</f>
        <v>0</v>
      </c>
      <c r="C103" s="28">
        <f>IF(Q14&lt;=10000000,1,IF(Q14&lt;=20000000,2,3))</f>
        <v>1</v>
      </c>
      <c r="D103" s="77">
        <v>10000001</v>
      </c>
      <c r="E103" s="77">
        <f>IF($B$98&gt;=$D$103,$B$98-1955000,0)</f>
        <v>0</v>
      </c>
      <c r="F103" s="77">
        <f>IF($B$98&gt;=$D$103,$B$98-1855000,0)</f>
        <v>0</v>
      </c>
      <c r="G103" s="236">
        <f>IF($B$98&gt;=$D$103,$B$98-1755000,0)</f>
        <v>0</v>
      </c>
      <c r="H103" s="74">
        <v>10000001</v>
      </c>
      <c r="I103" s="77">
        <f>IF($B$98&gt;=$H$103,$B$98-1955000,0)</f>
        <v>0</v>
      </c>
      <c r="J103" s="77">
        <f>IF($B$98&gt;=$H$103,$B$98-1855000,0)</f>
        <v>0</v>
      </c>
      <c r="K103" s="77">
        <f>IF($B$98&gt;=$H$103,$B$98-1755000,0)</f>
        <v>0</v>
      </c>
      <c r="L103" s="27"/>
      <c r="M103" s="27"/>
      <c r="N103" s="12"/>
      <c r="O103" s="12"/>
      <c r="P103" s="12"/>
      <c r="Q103" s="12"/>
      <c r="R103" s="12"/>
      <c r="S103" s="12"/>
      <c r="T103" s="12"/>
      <c r="U103" s="12"/>
      <c r="V103" s="321"/>
      <c r="W103" s="321"/>
      <c r="X103" s="321"/>
      <c r="Y103" s="321"/>
      <c r="Z103" s="321"/>
      <c r="AA103" s="321"/>
      <c r="AB103" s="321"/>
      <c r="AC103" s="321"/>
      <c r="AD103" s="321"/>
      <c r="AE103" s="321"/>
      <c r="AF103" s="321"/>
      <c r="AG103" s="321"/>
      <c r="AH103" s="321"/>
      <c r="AI103" s="321"/>
      <c r="AJ103" s="321"/>
      <c r="AK103" s="321"/>
      <c r="AL103" s="321"/>
      <c r="AM103" s="321"/>
      <c r="AN103" s="321"/>
      <c r="AO103" s="321"/>
    </row>
    <row r="104" spans="1:41" s="166" customFormat="1">
      <c r="A104" s="27"/>
      <c r="B104" s="27"/>
      <c r="C104" s="27"/>
      <c r="D104" s="287"/>
      <c r="E104" s="287"/>
      <c r="F104" s="287"/>
      <c r="G104" s="287"/>
      <c r="H104" s="287"/>
      <c r="I104" s="287"/>
      <c r="J104" s="287"/>
      <c r="K104" s="287"/>
      <c r="L104" s="27"/>
      <c r="M104" s="27"/>
      <c r="N104" s="12"/>
      <c r="O104" s="12"/>
      <c r="P104" s="12"/>
      <c r="Q104" s="12"/>
      <c r="R104" s="12"/>
      <c r="S104" s="12"/>
      <c r="T104" s="12"/>
      <c r="U104" s="12"/>
      <c r="V104" s="321"/>
      <c r="W104" s="321"/>
      <c r="X104" s="321"/>
      <c r="Y104" s="321"/>
      <c r="Z104" s="321"/>
      <c r="AA104" s="321"/>
      <c r="AB104" s="321"/>
      <c r="AC104" s="321"/>
      <c r="AD104" s="321"/>
      <c r="AE104" s="321"/>
      <c r="AF104" s="321"/>
      <c r="AG104" s="321"/>
      <c r="AH104" s="321"/>
      <c r="AI104" s="321"/>
      <c r="AJ104" s="321"/>
      <c r="AK104" s="321"/>
      <c r="AL104" s="321"/>
      <c r="AM104" s="321"/>
      <c r="AN104" s="321"/>
      <c r="AO104" s="321"/>
    </row>
    <row r="105" spans="1:41" s="166" customFormat="1">
      <c r="A105" s="27"/>
      <c r="B105" s="27"/>
      <c r="C105" s="27"/>
      <c r="D105" s="467" t="s">
        <v>128</v>
      </c>
      <c r="E105" s="468"/>
      <c r="F105" s="468"/>
      <c r="G105" s="469"/>
      <c r="H105" s="470" t="s">
        <v>64</v>
      </c>
      <c r="I105" s="471"/>
      <c r="J105" s="471"/>
      <c r="K105" s="472"/>
      <c r="L105" s="27"/>
      <c r="M105" s="27"/>
      <c r="N105" s="12"/>
      <c r="O105" s="12"/>
      <c r="P105" s="12"/>
      <c r="Q105" s="12"/>
      <c r="R105" s="12"/>
      <c r="S105" s="12"/>
      <c r="T105" s="12"/>
      <c r="U105" s="12"/>
      <c r="V105" s="321"/>
      <c r="W105" s="321"/>
      <c r="X105" s="321"/>
      <c r="Y105" s="321"/>
      <c r="Z105" s="321"/>
      <c r="AA105" s="321"/>
      <c r="AB105" s="321"/>
      <c r="AC105" s="321"/>
      <c r="AD105" s="321"/>
      <c r="AE105" s="321"/>
      <c r="AF105" s="321"/>
      <c r="AG105" s="321"/>
      <c r="AH105" s="321"/>
      <c r="AI105" s="321"/>
      <c r="AJ105" s="321"/>
      <c r="AK105" s="321"/>
      <c r="AL105" s="321"/>
      <c r="AM105" s="321"/>
      <c r="AN105" s="321"/>
      <c r="AO105" s="321"/>
    </row>
    <row r="106" spans="1:41">
      <c r="A106" s="27" t="s">
        <v>36</v>
      </c>
      <c r="B106" s="33" t="s">
        <v>61</v>
      </c>
      <c r="C106" s="34" t="s">
        <v>62</v>
      </c>
      <c r="D106" s="171" t="s">
        <v>129</v>
      </c>
      <c r="E106" s="18" t="s">
        <v>131</v>
      </c>
      <c r="F106" s="171" t="s">
        <v>132</v>
      </c>
      <c r="G106" s="173" t="s">
        <v>133</v>
      </c>
      <c r="H106" s="172" t="s">
        <v>130</v>
      </c>
      <c r="I106" s="18" t="s">
        <v>131</v>
      </c>
      <c r="J106" s="171" t="s">
        <v>132</v>
      </c>
      <c r="K106" s="18" t="s">
        <v>133</v>
      </c>
      <c r="L106" s="27"/>
      <c r="M106" s="27"/>
      <c r="N106" s="12"/>
      <c r="O106" s="12"/>
      <c r="P106" s="12"/>
      <c r="Q106" s="12"/>
      <c r="R106" s="12"/>
      <c r="S106" s="12"/>
      <c r="T106" s="12"/>
      <c r="U106" s="12"/>
      <c r="V106" s="321"/>
      <c r="W106" s="321"/>
      <c r="X106" s="321"/>
      <c r="Y106" s="321"/>
      <c r="Z106" s="321"/>
      <c r="AA106" s="321"/>
      <c r="AB106" s="321"/>
      <c r="AC106" s="321"/>
      <c r="AD106" s="321"/>
      <c r="AE106" s="321"/>
      <c r="AF106" s="321"/>
      <c r="AG106" s="321"/>
      <c r="AH106" s="321"/>
      <c r="AI106" s="321"/>
      <c r="AJ106" s="321"/>
      <c r="AK106" s="321"/>
      <c r="AL106" s="321"/>
      <c r="AM106" s="321"/>
      <c r="AN106" s="321"/>
      <c r="AO106" s="321"/>
    </row>
    <row r="107" spans="1:41">
      <c r="A107" s="27"/>
      <c r="B107" s="297">
        <f>N15</f>
        <v>0</v>
      </c>
      <c r="C107" s="295">
        <f>IF(B110=0,IF(C112=1,MAX(E107:E112),IF(C112=2,MAX(F107:F112),MAX(G107:G112))),IF(C112=1,MAX(I107:I112),IF(C112=2,MAX(J107:J112),MAX(K107:K112))))</f>
        <v>0</v>
      </c>
      <c r="D107" s="174">
        <v>0</v>
      </c>
      <c r="E107" s="233">
        <f>IF($B$107&lt;$D$108,0,0)</f>
        <v>0</v>
      </c>
      <c r="F107" s="233">
        <f>IF($B$107&lt;$D$108,$B$107-1000000,0)</f>
        <v>-1000000</v>
      </c>
      <c r="G107" s="234">
        <f>IF($B$107&lt;$D$108,$B$107-900000,0)</f>
        <v>-900000</v>
      </c>
      <c r="H107" s="175">
        <v>0</v>
      </c>
      <c r="I107" s="233">
        <f>IF($B$107&lt;$H$108,0,0)</f>
        <v>0</v>
      </c>
      <c r="J107" s="233">
        <f>IF($B$107&lt;$H$108,$B$107-1000000,0)</f>
        <v>-1000000</v>
      </c>
      <c r="K107" s="233">
        <f>IF($B$107&lt;$H$108,$B$107-900000,0)</f>
        <v>-900000</v>
      </c>
      <c r="L107" s="27"/>
      <c r="M107" s="27"/>
      <c r="N107" s="12"/>
      <c r="O107" s="12"/>
      <c r="P107" s="12"/>
      <c r="Q107" s="12"/>
      <c r="R107" s="12"/>
      <c r="S107" s="12"/>
      <c r="T107" s="12"/>
      <c r="U107" s="12"/>
      <c r="V107" s="321"/>
      <c r="W107" s="321"/>
      <c r="X107" s="321"/>
      <c r="Y107" s="321"/>
      <c r="Z107" s="321"/>
      <c r="AA107" s="321"/>
      <c r="AB107" s="321"/>
      <c r="AC107" s="321"/>
      <c r="AD107" s="321"/>
      <c r="AE107" s="321"/>
      <c r="AF107" s="321"/>
      <c r="AG107" s="321"/>
      <c r="AH107" s="321"/>
      <c r="AI107" s="321"/>
      <c r="AJ107" s="321"/>
      <c r="AK107" s="321"/>
      <c r="AL107" s="321"/>
      <c r="AM107" s="321"/>
      <c r="AN107" s="321"/>
      <c r="AO107" s="321"/>
    </row>
    <row r="108" spans="1:41">
      <c r="A108" s="27"/>
      <c r="B108" s="296" t="s">
        <v>134</v>
      </c>
      <c r="C108" s="27">
        <f>IF(R57=1,0,IF(OR(AND(B110=1,B107&gt;1250000),AND(B110=0,B107&gt;600000)),1,0))</f>
        <v>0</v>
      </c>
      <c r="D108" s="176">
        <v>600001</v>
      </c>
      <c r="E108" s="176">
        <f>IF(AND($B$107&gt;=$D$108,$B$107&lt;$D$109),$B$107-600000,0)</f>
        <v>0</v>
      </c>
      <c r="F108" s="176">
        <f>IF(AND($B$107&gt;=$D$108,$B$107&lt;$D$109),$B$107-500000,0)</f>
        <v>0</v>
      </c>
      <c r="G108" s="235">
        <f>IF(AND($B$107&gt;=$D$108,$B$107&lt;$D$109),$B$107-400000,0)</f>
        <v>0</v>
      </c>
      <c r="H108" s="73">
        <v>1100001</v>
      </c>
      <c r="I108" s="176">
        <f>IF(AND($B$107&gt;=$H$108,$B$107&lt;$H$109),$B$107-1100000,0)</f>
        <v>0</v>
      </c>
      <c r="J108" s="176">
        <f>IF(AND($B$107&gt;=$H$108,$B$107&lt;$H$109),$B$107-1000000,0)</f>
        <v>0</v>
      </c>
      <c r="K108" s="176">
        <f>IF(AND($B$107&gt;=$H$108,$B$107&lt;$H$109),$B$107-900000,0)</f>
        <v>0</v>
      </c>
      <c r="L108" s="27"/>
      <c r="M108" s="27"/>
      <c r="N108" s="12"/>
      <c r="O108" s="12"/>
      <c r="P108" s="12"/>
      <c r="Q108" s="12"/>
      <c r="R108" s="12"/>
      <c r="S108" s="12"/>
      <c r="T108" s="12"/>
      <c r="U108" s="12"/>
      <c r="V108" s="321"/>
      <c r="W108" s="321"/>
      <c r="X108" s="321"/>
      <c r="Y108" s="321"/>
      <c r="Z108" s="321"/>
      <c r="AA108" s="321"/>
      <c r="AB108" s="321"/>
      <c r="AC108" s="321"/>
      <c r="AD108" s="321"/>
      <c r="AE108" s="321"/>
      <c r="AF108" s="321"/>
      <c r="AG108" s="321"/>
      <c r="AH108" s="321"/>
      <c r="AI108" s="321"/>
      <c r="AJ108" s="321"/>
      <c r="AK108" s="321"/>
      <c r="AL108" s="321"/>
      <c r="AM108" s="321"/>
      <c r="AN108" s="321"/>
      <c r="AO108" s="321"/>
    </row>
    <row r="109" spans="1:41" ht="19.5" thickBot="1">
      <c r="A109" s="27"/>
      <c r="B109" s="239" t="s">
        <v>195</v>
      </c>
      <c r="C109" s="243" t="s">
        <v>194</v>
      </c>
      <c r="D109" s="176">
        <v>1300000</v>
      </c>
      <c r="E109" s="176">
        <f>IF(AND($B$107&gt;=$D$109,$B$107&lt;$D$110),ROUNDDOWN($B$107*0.75,0)-275000,0)</f>
        <v>0</v>
      </c>
      <c r="F109" s="176">
        <f>IF(AND($B$107&gt;=$D$109,$B$107&lt;$D$110),ROUNDDOWN($B$107*0.75,0)-175000,0)</f>
        <v>0</v>
      </c>
      <c r="G109" s="235">
        <f>IF(AND($B$107&gt;=$D$109,$B$107&lt;$D$110),ROUNDDOWN($B$107*0.75,0)-75000,0)</f>
        <v>0</v>
      </c>
      <c r="H109" s="73">
        <v>3300000</v>
      </c>
      <c r="I109" s="176">
        <f>IF(AND($B$107&gt;=$H$109,$B$107&lt;$H$110),ROUNDDOWN($B$107*0.75,0)-275000,0)</f>
        <v>0</v>
      </c>
      <c r="J109" s="176">
        <f>IF(AND($B$107&gt;=$H$109,$B$107&lt;$H$110),ROUNDDOWN($B$107*0.75,0)-175000,0)</f>
        <v>0</v>
      </c>
      <c r="K109" s="176">
        <f>IF(AND($B$107&gt;=$H$109,$B$107&lt;$H$110),ROUNDDOWN($B$107*0.75,0)-75000,0)</f>
        <v>0</v>
      </c>
      <c r="L109" s="27"/>
      <c r="M109" s="27"/>
      <c r="N109" s="12"/>
      <c r="O109" s="12"/>
      <c r="P109" s="12"/>
      <c r="Q109" s="12"/>
      <c r="R109" s="12"/>
      <c r="S109" s="12"/>
      <c r="T109" s="12"/>
      <c r="U109" s="12"/>
      <c r="V109" s="321"/>
      <c r="W109" s="321"/>
      <c r="X109" s="321"/>
      <c r="Y109" s="321"/>
      <c r="Z109" s="321"/>
      <c r="AA109" s="321"/>
      <c r="AB109" s="321"/>
      <c r="AC109" s="321"/>
      <c r="AD109" s="321"/>
      <c r="AE109" s="321"/>
      <c r="AF109" s="321"/>
      <c r="AG109" s="321"/>
      <c r="AH109" s="321"/>
      <c r="AI109" s="321"/>
      <c r="AJ109" s="321"/>
      <c r="AK109" s="321"/>
      <c r="AL109" s="321"/>
      <c r="AM109" s="321"/>
      <c r="AN109" s="321"/>
      <c r="AO109" s="321"/>
    </row>
    <row r="110" spans="1:41" ht="13.5" thickBot="1">
      <c r="A110" s="27"/>
      <c r="B110" s="299">
        <f>IF(C110="自動",IF($B$68="生年月日",IF(R24&gt;64,1,0),IF(OR(B15=1,B15&gt;3),1,0)),IF(C110="65歳以上",1,0))</f>
        <v>1</v>
      </c>
      <c r="C110" s="320" t="s">
        <v>219</v>
      </c>
      <c r="D110" s="176">
        <v>4100000</v>
      </c>
      <c r="E110" s="176">
        <f>IF(AND($B$107&gt;=$D$110,$B$107&lt;$D$111),ROUNDDOWN($B$107*0.85,0)-685000,0)</f>
        <v>0</v>
      </c>
      <c r="F110" s="176">
        <f>IF(AND($B$107&gt;=$D$110,$B$107&lt;$D$111),ROUNDDOWN($B$107*0.85,0)-585000,0)</f>
        <v>0</v>
      </c>
      <c r="G110" s="235">
        <f>IF(AND($B$107&gt;=$D$110,$B$107&lt;$D$111),ROUNDDOWN($B$107*0.85,0)-485000,0)</f>
        <v>0</v>
      </c>
      <c r="H110" s="73">
        <v>4100000</v>
      </c>
      <c r="I110" s="176">
        <f>IF(AND($B$107&gt;=$H$110,$B$107&lt;$H$111),ROUNDDOWN($B$107*0.85,0)-685000,0)</f>
        <v>0</v>
      </c>
      <c r="J110" s="176">
        <f>IF(AND($B$107&gt;=$H$110,$B$107&lt;$H$111),ROUNDDOWN($B$107*0.85,0)-585000,0)</f>
        <v>0</v>
      </c>
      <c r="K110" s="176">
        <f>IF(AND($B$107&gt;=$H$110,$B$107&lt;$H$111),ROUNDDOWN($B$107*0.85,0)-485000,0)</f>
        <v>0</v>
      </c>
      <c r="L110" s="27"/>
      <c r="M110" s="27"/>
      <c r="N110" s="12"/>
      <c r="O110" s="12"/>
      <c r="P110" s="12"/>
      <c r="Q110" s="12"/>
      <c r="R110" s="12"/>
      <c r="S110" s="12"/>
      <c r="T110" s="12"/>
      <c r="U110" s="12"/>
      <c r="V110" s="321"/>
      <c r="W110" s="321"/>
      <c r="X110" s="321"/>
      <c r="Y110" s="321"/>
      <c r="Z110" s="321"/>
      <c r="AA110" s="321"/>
      <c r="AB110" s="321"/>
      <c r="AC110" s="321"/>
      <c r="AD110" s="321"/>
      <c r="AE110" s="321"/>
      <c r="AF110" s="321"/>
      <c r="AG110" s="321"/>
      <c r="AH110" s="321"/>
      <c r="AI110" s="321"/>
      <c r="AJ110" s="321"/>
      <c r="AK110" s="321"/>
      <c r="AL110" s="321"/>
      <c r="AM110" s="321"/>
      <c r="AN110" s="321"/>
      <c r="AO110" s="321"/>
    </row>
    <row r="111" spans="1:41" ht="25.5">
      <c r="A111" s="27"/>
      <c r="B111" s="341" t="s">
        <v>210</v>
      </c>
      <c r="C111" s="300" t="s">
        <v>127</v>
      </c>
      <c r="D111" s="176">
        <v>7700000</v>
      </c>
      <c r="E111" s="176">
        <f>IF(AND($B$107&gt;=$D$111,$B$107&lt;$D$112),ROUNDDOWN($B$107*0.95,0)-1455000,0)</f>
        <v>0</v>
      </c>
      <c r="F111" s="176">
        <f>IF(AND($B$107&gt;=$D$111,$B$107&lt;$D$112),ROUNDDOWN($B$107*0.95,0)-1355000,0)</f>
        <v>0</v>
      </c>
      <c r="G111" s="235">
        <f>IF(AND($B$107&gt;=$D$111,$B$107&lt;$D$112),ROUNDDOWN($B$107*0.95,0)-1255000,0)</f>
        <v>0</v>
      </c>
      <c r="H111" s="73">
        <v>7700000</v>
      </c>
      <c r="I111" s="176">
        <f>IF(AND($B$107&gt;=$H$111,$B$107&lt;$H$112),ROUNDDOWN($B$107*0.95,0)-1455000,0)</f>
        <v>0</v>
      </c>
      <c r="J111" s="176">
        <f>IF(AND($B$107&gt;=$H$111,$B$107&lt;$H$112),ROUNDDOWN($B$107*0.95,0)-1355000,0)</f>
        <v>0</v>
      </c>
      <c r="K111" s="176">
        <f>IF(AND($B$107&gt;=$H$111,$B$107&lt;$H$112),ROUNDDOWN($B$107*0.95,0)-1255000,0)</f>
        <v>0</v>
      </c>
      <c r="L111" s="27"/>
      <c r="M111" s="27"/>
      <c r="N111" s="12"/>
      <c r="O111" s="12"/>
      <c r="P111" s="12"/>
      <c r="Q111" s="12"/>
      <c r="R111" s="12"/>
      <c r="S111" s="12"/>
      <c r="T111" s="12"/>
      <c r="U111" s="12"/>
      <c r="V111" s="321"/>
      <c r="W111" s="321"/>
      <c r="X111" s="321"/>
      <c r="Y111" s="321"/>
      <c r="Z111" s="321"/>
      <c r="AA111" s="321"/>
      <c r="AB111" s="321"/>
      <c r="AC111" s="321"/>
      <c r="AD111" s="321"/>
      <c r="AE111" s="321"/>
      <c r="AF111" s="321"/>
      <c r="AG111" s="321"/>
      <c r="AH111" s="321"/>
      <c r="AI111" s="321"/>
      <c r="AJ111" s="321"/>
      <c r="AK111" s="321"/>
      <c r="AL111" s="321"/>
      <c r="AM111" s="321"/>
      <c r="AN111" s="321"/>
      <c r="AO111" s="321"/>
    </row>
    <row r="112" spans="1:41" s="166" customFormat="1">
      <c r="A112" s="27"/>
      <c r="B112" s="349">
        <f>IF(B110=1,IF(C107-150000&lt;0,0,C107-150000),C107)</f>
        <v>0</v>
      </c>
      <c r="C112" s="28">
        <f>IF(Q15&lt;=10000000,1,IF(Q15&lt;=20000000,2,3))</f>
        <v>1</v>
      </c>
      <c r="D112" s="77">
        <v>10000001</v>
      </c>
      <c r="E112" s="77">
        <f>IF($B$107&gt;=$D$112,$B$107-1955000,0)</f>
        <v>0</v>
      </c>
      <c r="F112" s="77">
        <f>IF($B$107&gt;=$D$112,$B$107-1855000,0)</f>
        <v>0</v>
      </c>
      <c r="G112" s="236">
        <f>IF($B$107&gt;=$D$112,$B$107-1755000,0)</f>
        <v>0</v>
      </c>
      <c r="H112" s="74">
        <v>10000001</v>
      </c>
      <c r="I112" s="77">
        <f>IF($B$107&gt;=$H$112,$B$107-1955000,0)</f>
        <v>0</v>
      </c>
      <c r="J112" s="77">
        <f>IF($B$107&gt;=$H$112,$B$107-1855000,0)</f>
        <v>0</v>
      </c>
      <c r="K112" s="77">
        <f>IF($B$107&gt;=$H$112,$B$107-1755000,0)</f>
        <v>0</v>
      </c>
      <c r="L112" s="27"/>
      <c r="M112" s="27"/>
      <c r="N112" s="12"/>
      <c r="O112" s="12"/>
      <c r="P112" s="12"/>
      <c r="Q112" s="12"/>
      <c r="R112" s="12"/>
      <c r="S112" s="12"/>
      <c r="T112" s="12"/>
      <c r="U112" s="12"/>
      <c r="V112" s="321"/>
      <c r="W112" s="321"/>
      <c r="X112" s="321"/>
      <c r="Y112" s="321"/>
      <c r="Z112" s="321"/>
      <c r="AA112" s="321"/>
      <c r="AB112" s="321"/>
      <c r="AC112" s="321"/>
      <c r="AD112" s="321"/>
      <c r="AE112" s="321"/>
      <c r="AF112" s="321"/>
      <c r="AG112" s="321"/>
      <c r="AH112" s="321"/>
      <c r="AI112" s="321"/>
      <c r="AJ112" s="321"/>
      <c r="AK112" s="321"/>
      <c r="AL112" s="321"/>
      <c r="AM112" s="321"/>
      <c r="AN112" s="321"/>
      <c r="AO112" s="321"/>
    </row>
    <row r="113" spans="1:41">
      <c r="A113" s="27"/>
      <c r="B113" s="27"/>
      <c r="C113" s="27"/>
      <c r="D113" s="287"/>
      <c r="E113" s="287"/>
      <c r="F113" s="287"/>
      <c r="G113" s="287"/>
      <c r="H113" s="287"/>
      <c r="I113" s="287"/>
      <c r="J113" s="287"/>
      <c r="K113" s="287"/>
      <c r="L113" s="27"/>
      <c r="M113" s="27"/>
      <c r="N113" s="12"/>
      <c r="O113" s="12"/>
      <c r="P113" s="12"/>
      <c r="Q113" s="12"/>
      <c r="R113" s="12"/>
      <c r="S113" s="12"/>
      <c r="T113" s="12"/>
      <c r="U113" s="12"/>
      <c r="V113" s="321"/>
      <c r="W113" s="321"/>
      <c r="X113" s="321"/>
      <c r="Y113" s="321"/>
      <c r="Z113" s="321"/>
      <c r="AA113" s="321"/>
      <c r="AB113" s="321"/>
      <c r="AC113" s="321"/>
      <c r="AD113" s="321"/>
      <c r="AE113" s="321"/>
      <c r="AF113" s="321"/>
      <c r="AG113" s="321"/>
      <c r="AH113" s="321"/>
      <c r="AI113" s="321"/>
      <c r="AJ113" s="321"/>
      <c r="AK113" s="321"/>
      <c r="AL113" s="321"/>
      <c r="AM113" s="321"/>
      <c r="AN113" s="321"/>
      <c r="AO113" s="321"/>
    </row>
    <row r="114" spans="1:41" s="166" customFormat="1">
      <c r="A114" s="27"/>
      <c r="B114" s="27"/>
      <c r="C114" s="27"/>
      <c r="D114" s="467" t="s">
        <v>128</v>
      </c>
      <c r="E114" s="468"/>
      <c r="F114" s="468"/>
      <c r="G114" s="469"/>
      <c r="H114" s="470" t="s">
        <v>64</v>
      </c>
      <c r="I114" s="471"/>
      <c r="J114" s="471"/>
      <c r="K114" s="472"/>
      <c r="L114" s="27"/>
      <c r="M114" s="27"/>
      <c r="N114" s="12"/>
      <c r="O114" s="12"/>
      <c r="P114" s="12"/>
      <c r="Q114" s="12"/>
      <c r="R114" s="12"/>
      <c r="S114" s="12"/>
      <c r="T114" s="12"/>
      <c r="U114" s="12"/>
      <c r="V114" s="321"/>
      <c r="W114" s="321"/>
      <c r="X114" s="321"/>
      <c r="Y114" s="321"/>
      <c r="Z114" s="321"/>
      <c r="AA114" s="321"/>
      <c r="AB114" s="321"/>
      <c r="AC114" s="321"/>
      <c r="AD114" s="321"/>
      <c r="AE114" s="321"/>
      <c r="AF114" s="321"/>
      <c r="AG114" s="321"/>
      <c r="AH114" s="321"/>
      <c r="AI114" s="321"/>
      <c r="AJ114" s="321"/>
      <c r="AK114" s="321"/>
      <c r="AL114" s="321"/>
      <c r="AM114" s="321"/>
      <c r="AN114" s="321"/>
      <c r="AO114" s="321"/>
    </row>
    <row r="115" spans="1:41">
      <c r="A115" s="27" t="s">
        <v>37</v>
      </c>
      <c r="B115" s="33" t="s">
        <v>61</v>
      </c>
      <c r="C115" s="34" t="s">
        <v>62</v>
      </c>
      <c r="D115" s="171" t="s">
        <v>129</v>
      </c>
      <c r="E115" s="18" t="s">
        <v>131</v>
      </c>
      <c r="F115" s="171" t="s">
        <v>132</v>
      </c>
      <c r="G115" s="173" t="s">
        <v>133</v>
      </c>
      <c r="H115" s="172" t="s">
        <v>130</v>
      </c>
      <c r="I115" s="18" t="s">
        <v>131</v>
      </c>
      <c r="J115" s="171" t="s">
        <v>132</v>
      </c>
      <c r="K115" s="18" t="s">
        <v>133</v>
      </c>
      <c r="L115" s="27"/>
      <c r="M115" s="27"/>
      <c r="N115" s="12"/>
      <c r="O115" s="12"/>
      <c r="P115" s="12"/>
      <c r="Q115" s="12"/>
      <c r="R115" s="12"/>
      <c r="S115" s="12"/>
      <c r="T115" s="12"/>
      <c r="U115" s="12"/>
      <c r="V115" s="321"/>
      <c r="W115" s="321"/>
      <c r="X115" s="321"/>
      <c r="Y115" s="321"/>
      <c r="Z115" s="321"/>
      <c r="AA115" s="321"/>
      <c r="AB115" s="321"/>
      <c r="AC115" s="321"/>
      <c r="AD115" s="321"/>
      <c r="AE115" s="321"/>
      <c r="AF115" s="321"/>
      <c r="AG115" s="321"/>
      <c r="AH115" s="321"/>
      <c r="AI115" s="321"/>
      <c r="AJ115" s="321"/>
      <c r="AK115" s="321"/>
      <c r="AL115" s="321"/>
      <c r="AM115" s="321"/>
      <c r="AN115" s="321"/>
      <c r="AO115" s="321"/>
    </row>
    <row r="116" spans="1:41">
      <c r="A116" s="27"/>
      <c r="B116" s="297">
        <f>N16</f>
        <v>0</v>
      </c>
      <c r="C116" s="295">
        <f>IF(B119=0,IF(C121=1,MAX(E116:E121),IF(C121=2,MAX(F116:F121),MAX(G116:G121))),IF(C121=1,MAX(I116:I121),IF(C121=2,MAX(J116:J121),MAX(K116:K121))))</f>
        <v>0</v>
      </c>
      <c r="D116" s="174">
        <v>0</v>
      </c>
      <c r="E116" s="233">
        <f>IF($B$116&lt;$D$117,0,0)</f>
        <v>0</v>
      </c>
      <c r="F116" s="233">
        <f>IF($B$116&lt;$D$117,$B$116-1000000,0)</f>
        <v>-1000000</v>
      </c>
      <c r="G116" s="234">
        <f>IF($B$116&lt;$D$117,$B$116-900000,0)</f>
        <v>-900000</v>
      </c>
      <c r="H116" s="175">
        <v>0</v>
      </c>
      <c r="I116" s="233">
        <f>IF($B$116&lt;$H$117,0,0)</f>
        <v>0</v>
      </c>
      <c r="J116" s="233">
        <f>IF($B$116&lt;$H$117,$B$116-1000000,0)</f>
        <v>-1000000</v>
      </c>
      <c r="K116" s="233">
        <f>IF($B$116&lt;$H$117,$B$116-900000,0)</f>
        <v>-900000</v>
      </c>
      <c r="L116" s="27"/>
      <c r="M116" s="27"/>
      <c r="N116" s="12"/>
      <c r="O116" s="12"/>
      <c r="P116" s="12"/>
      <c r="Q116" s="12"/>
      <c r="R116" s="12"/>
      <c r="S116" s="12"/>
      <c r="T116" s="12"/>
      <c r="U116" s="12"/>
      <c r="V116" s="321"/>
      <c r="W116" s="321"/>
      <c r="X116" s="321"/>
      <c r="Y116" s="321"/>
      <c r="Z116" s="321"/>
      <c r="AA116" s="321"/>
      <c r="AB116" s="321"/>
      <c r="AC116" s="321"/>
      <c r="AD116" s="321"/>
      <c r="AE116" s="321"/>
      <c r="AF116" s="321"/>
      <c r="AG116" s="321"/>
      <c r="AH116" s="321"/>
      <c r="AI116" s="321"/>
      <c r="AJ116" s="321"/>
      <c r="AK116" s="321"/>
      <c r="AL116" s="321"/>
      <c r="AM116" s="321"/>
      <c r="AN116" s="321"/>
      <c r="AO116" s="321"/>
    </row>
    <row r="117" spans="1:41">
      <c r="A117" s="27"/>
      <c r="B117" s="296" t="s">
        <v>134</v>
      </c>
      <c r="C117" s="27">
        <f>IF(R58=1,0,IF(OR(AND(B119=1,B116&gt;1250000),AND(B119=0,B116&gt;600000)),1,0))</f>
        <v>0</v>
      </c>
      <c r="D117" s="176">
        <v>600001</v>
      </c>
      <c r="E117" s="176">
        <f>IF(AND($B$116&gt;=$D$117,$B$116&lt;$D$118),$B$116-600000,0)</f>
        <v>0</v>
      </c>
      <c r="F117" s="176">
        <f>IF(AND($B$116&gt;=$D$117,$B$116&lt;$D$118),$B$116-500000,0)</f>
        <v>0</v>
      </c>
      <c r="G117" s="235">
        <f>IF(AND($B$116&gt;=$D$117,$B$116&lt;$D$118),$B$116-400000,0)</f>
        <v>0</v>
      </c>
      <c r="H117" s="73">
        <v>1100001</v>
      </c>
      <c r="I117" s="176">
        <f>IF(AND($B$116&gt;=$H$117,$B$116&lt;$H$118),$B$116-1100000,0)</f>
        <v>0</v>
      </c>
      <c r="J117" s="176">
        <f>IF(AND($B$116&gt;=$H$117,$B$116&lt;$H$118),$B$116-1000000,0)</f>
        <v>0</v>
      </c>
      <c r="K117" s="176">
        <f>IF(AND($B$116&gt;=$H$117,$B$116&lt;$H$118),$B$116-900000,0)</f>
        <v>0</v>
      </c>
      <c r="L117" s="27"/>
      <c r="M117" s="27"/>
      <c r="N117" s="12"/>
      <c r="O117" s="12"/>
      <c r="P117" s="12"/>
      <c r="Q117" s="12"/>
      <c r="R117" s="12"/>
      <c r="S117" s="12"/>
      <c r="T117" s="12"/>
      <c r="U117" s="12"/>
      <c r="V117" s="321"/>
      <c r="W117" s="321"/>
      <c r="X117" s="321"/>
      <c r="Y117" s="321"/>
      <c r="Z117" s="321"/>
      <c r="AA117" s="321"/>
      <c r="AB117" s="321"/>
      <c r="AC117" s="321"/>
      <c r="AD117" s="321"/>
      <c r="AE117" s="321"/>
      <c r="AF117" s="321"/>
      <c r="AG117" s="321"/>
      <c r="AH117" s="321"/>
      <c r="AI117" s="321"/>
      <c r="AJ117" s="321"/>
      <c r="AK117" s="321"/>
      <c r="AL117" s="321"/>
      <c r="AM117" s="321"/>
      <c r="AN117" s="321"/>
      <c r="AO117" s="321"/>
    </row>
    <row r="118" spans="1:41" ht="19.5" thickBot="1">
      <c r="A118" s="27"/>
      <c r="B118" s="239" t="s">
        <v>195</v>
      </c>
      <c r="C118" s="243" t="s">
        <v>194</v>
      </c>
      <c r="D118" s="176">
        <v>1300000</v>
      </c>
      <c r="E118" s="176">
        <f>IF(AND($B$116&gt;=$D$118,$B$116&lt;$D$119),ROUNDDOWN($B$116*0.75,0)-275000,0)</f>
        <v>0</v>
      </c>
      <c r="F118" s="176">
        <f>IF(AND($B$116&gt;=$D$118,$B$116&lt;$D$119),ROUNDDOWN($B$116*0.75,0)-175000,0)</f>
        <v>0</v>
      </c>
      <c r="G118" s="235">
        <f>IF(AND($B$116&gt;=$D$118,$B$116&lt;$D$119),ROUNDDOWN($B$116*0.75,0)-75000,0)</f>
        <v>0</v>
      </c>
      <c r="H118" s="73">
        <v>3300000</v>
      </c>
      <c r="I118" s="176">
        <f>IF(AND($B$116&gt;=$H$118,$B$116&lt;$H$119),ROUNDDOWN($B$116*0.75,0)-275000,0)</f>
        <v>0</v>
      </c>
      <c r="J118" s="176">
        <f>IF(AND($B$116&gt;=$H$118,$B$116&lt;$H$119),ROUNDDOWN($B$116*0.75,0)-175000,0)</f>
        <v>0</v>
      </c>
      <c r="K118" s="176">
        <f>IF(AND($B$116&gt;=$H$118,$B$116&lt;$H$119),ROUNDDOWN($B$116*0.75,0)-75000,0)</f>
        <v>0</v>
      </c>
      <c r="L118" s="27"/>
      <c r="M118" s="27"/>
      <c r="N118" s="12"/>
      <c r="O118" s="12"/>
      <c r="P118" s="12"/>
      <c r="Q118" s="12"/>
      <c r="R118" s="12"/>
      <c r="S118" s="12"/>
      <c r="T118" s="12"/>
      <c r="U118" s="12"/>
      <c r="V118" s="321"/>
      <c r="W118" s="321"/>
      <c r="X118" s="321"/>
      <c r="Y118" s="321"/>
      <c r="Z118" s="321"/>
      <c r="AA118" s="321"/>
      <c r="AB118" s="321"/>
      <c r="AC118" s="321"/>
      <c r="AD118" s="321"/>
      <c r="AE118" s="321"/>
      <c r="AF118" s="321"/>
      <c r="AG118" s="321"/>
      <c r="AH118" s="321"/>
      <c r="AI118" s="321"/>
      <c r="AJ118" s="321"/>
      <c r="AK118" s="321"/>
      <c r="AL118" s="321"/>
      <c r="AM118" s="321"/>
      <c r="AN118" s="321"/>
      <c r="AO118" s="321"/>
    </row>
    <row r="119" spans="1:41" ht="13.5" thickBot="1">
      <c r="A119" s="27"/>
      <c r="B119" s="299">
        <f>IF(C119="自動",IF($B$68="生年月日",IF(R25&gt;64,1,0),IF(OR(B16=1,B16&gt;3),1,0)),IF(C119="65歳以上",1,0))</f>
        <v>1</v>
      </c>
      <c r="C119" s="320" t="s">
        <v>219</v>
      </c>
      <c r="D119" s="176">
        <v>4100000</v>
      </c>
      <c r="E119" s="176">
        <f>IF(AND($B$116&gt;=$D$119,$B$116&lt;$D$120),ROUNDDOWN($B$116*0.85,0)-685000,0)</f>
        <v>0</v>
      </c>
      <c r="F119" s="176">
        <f>IF(AND($B$116&gt;=$D$119,$B$116&lt;$D$120),ROUNDDOWN($B$116*0.85,0)-585000,0)</f>
        <v>0</v>
      </c>
      <c r="G119" s="235">
        <f>IF(AND($B$116&gt;=$D$119,$B$116&lt;$D$120),ROUNDDOWN($B$116*0.85,0)-485000,0)</f>
        <v>0</v>
      </c>
      <c r="H119" s="73">
        <v>4100000</v>
      </c>
      <c r="I119" s="176">
        <f>IF(AND($B$116&gt;=$H$119,$B$116&lt;$H$120),ROUNDDOWN($B$116*0.85,0)-685000,0)</f>
        <v>0</v>
      </c>
      <c r="J119" s="176">
        <f>IF(AND($B$116&gt;=$H$119,$B$116&lt;$H$120),ROUNDDOWN($B$116*0.85,0)-585000,0)</f>
        <v>0</v>
      </c>
      <c r="K119" s="176">
        <f>IF(AND($B$116&gt;=$H$119,$B$116&lt;$H$120),ROUNDDOWN($B$116*0.85,0)-485000,0)</f>
        <v>0</v>
      </c>
      <c r="L119" s="27"/>
      <c r="M119" s="27"/>
      <c r="N119" s="12"/>
      <c r="O119" s="12"/>
      <c r="P119" s="12"/>
      <c r="Q119" s="12"/>
      <c r="R119" s="12"/>
      <c r="S119" s="12"/>
      <c r="T119" s="12"/>
      <c r="U119" s="12"/>
      <c r="V119" s="321"/>
      <c r="W119" s="321"/>
      <c r="X119" s="321"/>
      <c r="Y119" s="321"/>
      <c r="Z119" s="321"/>
      <c r="AA119" s="321"/>
      <c r="AB119" s="321"/>
      <c r="AC119" s="321"/>
      <c r="AD119" s="321"/>
      <c r="AE119" s="321"/>
      <c r="AF119" s="321"/>
      <c r="AG119" s="321"/>
      <c r="AH119" s="321"/>
      <c r="AI119" s="321"/>
      <c r="AJ119" s="321"/>
      <c r="AK119" s="321"/>
      <c r="AL119" s="321"/>
      <c r="AM119" s="321"/>
      <c r="AN119" s="321"/>
      <c r="AO119" s="321"/>
    </row>
    <row r="120" spans="1:41" ht="25.5">
      <c r="A120" s="27"/>
      <c r="B120" s="341" t="s">
        <v>210</v>
      </c>
      <c r="C120" s="300" t="s">
        <v>127</v>
      </c>
      <c r="D120" s="176">
        <v>7700000</v>
      </c>
      <c r="E120" s="176">
        <f>IF(AND($B$116&gt;=$D$120,$B$116&lt;$D$121),ROUNDDOWN($B$116*0.95,0)-1455000,0)</f>
        <v>0</v>
      </c>
      <c r="F120" s="176">
        <f>IF(AND($B$116&gt;=$D$120,$B$116&lt;$D$121),ROUNDDOWN($B$116*0.95,0)-1355000,0)</f>
        <v>0</v>
      </c>
      <c r="G120" s="235">
        <f>IF(AND($B$116&gt;=$D$120,$B$116&lt;$D$121),ROUNDDOWN($B$116*0.95,0)-1255000,0)</f>
        <v>0</v>
      </c>
      <c r="H120" s="73">
        <v>7700000</v>
      </c>
      <c r="I120" s="176">
        <f>IF(AND($B$116&gt;=$H$120,$B$116&lt;$H$121),ROUNDDOWN($B$116*0.95,0)-1455000,0)</f>
        <v>0</v>
      </c>
      <c r="J120" s="176">
        <f>IF(AND($B$116&gt;=$H$120,$B$116&lt;$H$121),ROUNDDOWN($B$116*0.95,0)-1355000,0)</f>
        <v>0</v>
      </c>
      <c r="K120" s="176">
        <f>IF(AND($B$116&gt;=$H$120,$B$116&lt;$H$121),ROUNDDOWN($B$116*0.95,0)-1255000,0)</f>
        <v>0</v>
      </c>
      <c r="L120" s="27"/>
      <c r="M120" s="27"/>
      <c r="N120" s="12"/>
      <c r="O120" s="12"/>
      <c r="P120" s="12"/>
      <c r="Q120" s="12"/>
      <c r="R120" s="12"/>
      <c r="S120" s="12"/>
      <c r="T120" s="12"/>
      <c r="U120" s="12"/>
      <c r="V120" s="321"/>
      <c r="W120" s="321"/>
      <c r="X120" s="321"/>
      <c r="Y120" s="321"/>
      <c r="Z120" s="321"/>
      <c r="AA120" s="321"/>
      <c r="AB120" s="321"/>
      <c r="AC120" s="321"/>
      <c r="AD120" s="321"/>
      <c r="AE120" s="321"/>
      <c r="AF120" s="321"/>
      <c r="AG120" s="321"/>
      <c r="AH120" s="321"/>
      <c r="AI120" s="321"/>
      <c r="AJ120" s="321"/>
      <c r="AK120" s="321"/>
      <c r="AL120" s="321"/>
      <c r="AM120" s="321"/>
      <c r="AN120" s="321"/>
      <c r="AO120" s="321"/>
    </row>
    <row r="121" spans="1:41">
      <c r="A121" s="27"/>
      <c r="B121" s="349">
        <f>IF(B119=1,IF(C116-150000&lt;0,0,C116-150000),C116)</f>
        <v>0</v>
      </c>
      <c r="C121" s="28">
        <f>IF(Q16&lt;=10000000,1,IF(Q16&lt;=20000000,2,3))</f>
        <v>1</v>
      </c>
      <c r="D121" s="77">
        <v>10000001</v>
      </c>
      <c r="E121" s="77">
        <f>IF($B$116&gt;=$D$121,$B$116-1955000,0)</f>
        <v>0</v>
      </c>
      <c r="F121" s="77">
        <f>IF($B$116&gt;=$D$121,$B$116-1855000,0)</f>
        <v>0</v>
      </c>
      <c r="G121" s="236">
        <f>IF($B$116&gt;=$D$121,$B$116-1755000,0)</f>
        <v>0</v>
      </c>
      <c r="H121" s="74">
        <v>10000001</v>
      </c>
      <c r="I121" s="77">
        <f>IF($B$116&gt;=$H$121,$B$116-1955000,0)</f>
        <v>0</v>
      </c>
      <c r="J121" s="77">
        <f>IF($B$116&gt;=$H$121,$B$116-1855000,0)</f>
        <v>0</v>
      </c>
      <c r="K121" s="77">
        <f>IF($B$116&gt;=$H$121,$B$116-1755000,0)</f>
        <v>0</v>
      </c>
      <c r="L121" s="27"/>
      <c r="M121" s="27"/>
      <c r="N121" s="12"/>
      <c r="O121" s="12"/>
      <c r="P121" s="12"/>
      <c r="Q121" s="12"/>
      <c r="R121" s="12"/>
      <c r="S121" s="12"/>
      <c r="T121" s="12"/>
      <c r="U121" s="12"/>
      <c r="V121" s="321"/>
      <c r="W121" s="321"/>
      <c r="X121" s="321"/>
      <c r="Y121" s="321"/>
      <c r="Z121" s="321"/>
      <c r="AA121" s="321"/>
      <c r="AB121" s="321"/>
      <c r="AC121" s="321"/>
      <c r="AD121" s="321"/>
      <c r="AE121" s="321"/>
      <c r="AF121" s="321"/>
      <c r="AG121" s="321"/>
      <c r="AH121" s="321"/>
      <c r="AI121" s="321"/>
      <c r="AJ121" s="321"/>
      <c r="AK121" s="321"/>
      <c r="AL121" s="321"/>
      <c r="AM121" s="321"/>
      <c r="AN121" s="321"/>
      <c r="AO121" s="321"/>
    </row>
    <row r="122" spans="1:41">
      <c r="A122" s="26"/>
      <c r="B122" s="26"/>
      <c r="C122" s="26"/>
      <c r="D122" s="26"/>
      <c r="E122" s="26"/>
      <c r="F122" s="26"/>
      <c r="G122" s="26"/>
      <c r="H122" s="26"/>
      <c r="I122" s="26"/>
      <c r="J122" s="26"/>
      <c r="K122" s="26"/>
      <c r="L122" s="26"/>
      <c r="M122" s="26"/>
      <c r="V122" s="321"/>
      <c r="W122" s="321"/>
      <c r="X122" s="321"/>
      <c r="Y122" s="321"/>
      <c r="Z122" s="321"/>
      <c r="AA122" s="321"/>
      <c r="AB122" s="321"/>
      <c r="AC122" s="321"/>
      <c r="AD122" s="321"/>
      <c r="AE122" s="321"/>
      <c r="AF122" s="321"/>
      <c r="AG122" s="321"/>
      <c r="AH122" s="321"/>
      <c r="AI122" s="321"/>
      <c r="AJ122" s="321"/>
      <c r="AK122" s="321"/>
      <c r="AL122" s="321"/>
      <c r="AM122" s="321"/>
      <c r="AN122" s="321"/>
      <c r="AO122" s="321"/>
    </row>
    <row r="123" spans="1:41">
      <c r="A123" s="26"/>
      <c r="B123" s="26"/>
      <c r="C123" s="26"/>
      <c r="D123" s="26"/>
      <c r="E123" s="26"/>
      <c r="F123" s="26"/>
      <c r="G123" s="26"/>
      <c r="H123" s="26"/>
      <c r="I123" s="26"/>
      <c r="J123" s="26"/>
      <c r="K123" s="26"/>
      <c r="L123" s="26"/>
      <c r="M123" s="26"/>
      <c r="V123" s="321"/>
      <c r="W123" s="321"/>
      <c r="X123" s="321"/>
      <c r="Y123" s="321"/>
      <c r="Z123" s="321"/>
      <c r="AA123" s="321"/>
      <c r="AB123" s="321"/>
      <c r="AC123" s="321"/>
      <c r="AD123" s="321"/>
      <c r="AE123" s="321"/>
      <c r="AF123" s="321"/>
      <c r="AG123" s="321"/>
      <c r="AH123" s="321"/>
      <c r="AI123" s="321"/>
      <c r="AJ123" s="321"/>
      <c r="AK123" s="321"/>
      <c r="AL123" s="321"/>
      <c r="AM123" s="321"/>
      <c r="AN123" s="321"/>
      <c r="AO123" s="321"/>
    </row>
    <row r="124" spans="1:41">
      <c r="A124" s="26"/>
      <c r="B124" s="26"/>
      <c r="C124" s="26"/>
      <c r="D124" s="26"/>
      <c r="E124" s="26"/>
      <c r="F124" s="26"/>
      <c r="G124" s="26"/>
      <c r="H124" s="26"/>
      <c r="I124" s="26"/>
      <c r="J124" s="26"/>
      <c r="K124" s="26"/>
      <c r="L124" s="26"/>
      <c r="M124" s="26"/>
      <c r="V124" s="321"/>
      <c r="W124" s="321"/>
      <c r="X124" s="321"/>
      <c r="Y124" s="321"/>
      <c r="Z124" s="321"/>
      <c r="AA124" s="321"/>
      <c r="AB124" s="321"/>
      <c r="AC124" s="321"/>
      <c r="AD124" s="321"/>
      <c r="AE124" s="321"/>
      <c r="AF124" s="321"/>
      <c r="AG124" s="321"/>
      <c r="AH124" s="321"/>
      <c r="AI124" s="321"/>
      <c r="AJ124" s="321"/>
      <c r="AK124" s="321"/>
      <c r="AL124" s="321"/>
      <c r="AM124" s="321"/>
      <c r="AN124" s="321"/>
      <c r="AO124" s="321"/>
    </row>
    <row r="125" spans="1:41">
      <c r="A125" s="26"/>
      <c r="B125" s="26"/>
      <c r="C125" s="26"/>
      <c r="D125" s="26"/>
      <c r="E125" s="26"/>
      <c r="F125" s="26"/>
      <c r="G125" s="26"/>
      <c r="H125" s="26"/>
      <c r="I125" s="26"/>
      <c r="J125" s="26"/>
      <c r="K125" s="26"/>
      <c r="L125" s="26"/>
      <c r="M125" s="26"/>
      <c r="V125" s="321"/>
      <c r="W125" s="321"/>
      <c r="X125" s="321"/>
      <c r="Y125" s="321"/>
      <c r="Z125" s="321"/>
      <c r="AA125" s="321"/>
      <c r="AB125" s="321"/>
      <c r="AC125" s="321"/>
      <c r="AD125" s="321"/>
      <c r="AE125" s="321"/>
      <c r="AF125" s="321"/>
      <c r="AG125" s="321"/>
      <c r="AH125" s="321"/>
      <c r="AI125" s="321"/>
      <c r="AJ125" s="321"/>
      <c r="AK125" s="321"/>
      <c r="AL125" s="321"/>
      <c r="AM125" s="321"/>
      <c r="AN125" s="321"/>
      <c r="AO125" s="321"/>
    </row>
    <row r="126" spans="1:41">
      <c r="A126" s="26"/>
      <c r="B126" s="26"/>
      <c r="C126" s="26"/>
      <c r="D126" s="26"/>
      <c r="E126" s="26"/>
      <c r="F126" s="26"/>
      <c r="G126" s="26"/>
      <c r="H126" s="26"/>
      <c r="I126" s="26"/>
      <c r="J126" s="26"/>
      <c r="K126" s="26"/>
      <c r="L126" s="26"/>
      <c r="M126" s="26"/>
      <c r="V126" s="321"/>
      <c r="W126" s="321"/>
      <c r="X126" s="321"/>
      <c r="Y126" s="321"/>
      <c r="Z126" s="321"/>
      <c r="AA126" s="321"/>
      <c r="AB126" s="321"/>
      <c r="AC126" s="321"/>
      <c r="AD126" s="321"/>
      <c r="AE126" s="321"/>
      <c r="AF126" s="321"/>
      <c r="AG126" s="321"/>
      <c r="AH126" s="321"/>
      <c r="AI126" s="321"/>
      <c r="AJ126" s="321"/>
      <c r="AK126" s="321"/>
      <c r="AL126" s="321"/>
      <c r="AM126" s="321"/>
      <c r="AN126" s="321"/>
      <c r="AO126" s="321"/>
    </row>
    <row r="127" spans="1:41">
      <c r="A127" s="26"/>
      <c r="B127" s="26"/>
      <c r="C127" s="26"/>
      <c r="D127" s="26"/>
      <c r="E127" s="26"/>
      <c r="F127" s="26"/>
      <c r="G127" s="26"/>
      <c r="H127" s="26"/>
      <c r="I127" s="26"/>
      <c r="J127" s="26"/>
      <c r="K127" s="26"/>
      <c r="L127" s="26"/>
      <c r="M127" s="26"/>
      <c r="V127" s="321"/>
      <c r="W127" s="321"/>
      <c r="X127" s="321"/>
      <c r="Y127" s="321"/>
      <c r="Z127" s="321"/>
      <c r="AA127" s="321"/>
      <c r="AB127" s="321"/>
      <c r="AC127" s="321"/>
      <c r="AD127" s="321"/>
      <c r="AE127" s="321"/>
      <c r="AF127" s="321"/>
      <c r="AG127" s="321"/>
      <c r="AH127" s="321"/>
      <c r="AI127" s="321"/>
      <c r="AJ127" s="321"/>
      <c r="AK127" s="321"/>
      <c r="AL127" s="321"/>
      <c r="AM127" s="321"/>
      <c r="AN127" s="321"/>
      <c r="AO127" s="321"/>
    </row>
  </sheetData>
  <sheetProtection algorithmName="SHA-512" hashValue="VBqhimSFJRCXdK3bjKYUBp6Klwo8bfN+ab2eKo5L3wUhv27i2vyC/s3peZmMS2/HiaRZDu+XJeYDAqgZG4kwzQ==" saltValue="lm63vTAXyvQCAq0NtijpMw==" spinCount="100000" sheet="1" objects="1" scenarios="1" selectLockedCells="1"/>
  <mergeCells count="18">
    <mergeCell ref="G33:H33"/>
    <mergeCell ref="N65:O65"/>
    <mergeCell ref="M38:Q38"/>
    <mergeCell ref="M39:Q39"/>
    <mergeCell ref="M37:Q37"/>
    <mergeCell ref="M36:Q36"/>
    <mergeCell ref="D114:G114"/>
    <mergeCell ref="H114:K114"/>
    <mergeCell ref="H105:K105"/>
    <mergeCell ref="H96:K96"/>
    <mergeCell ref="D96:G96"/>
    <mergeCell ref="D105:G105"/>
    <mergeCell ref="D69:G69"/>
    <mergeCell ref="H69:K69"/>
    <mergeCell ref="H78:K78"/>
    <mergeCell ref="D78:G78"/>
    <mergeCell ref="D87:G87"/>
    <mergeCell ref="H87:K87"/>
  </mergeCells>
  <phoneticPr fontId="28"/>
  <dataValidations count="9">
    <dataValidation type="list" allowBlank="1" showInputMessage="1" showErrorMessage="1" sqref="C22" xr:uid="{00000000-0002-0000-0200-000000000000}">
      <formula1>"自動,7割軽減,5割軽減,2割軽減,非該当"</formula1>
    </dataValidation>
    <dataValidation type="list" allowBlank="1" showInputMessage="1" showErrorMessage="1" sqref="C11:C16" xr:uid="{00000000-0002-0000-0200-000001000000}">
      <formula1>"FALSE,TRUE"</formula1>
    </dataValidation>
    <dataValidation type="list" allowBlank="1" showInputMessage="1" showErrorMessage="1" sqref="F33" xr:uid="{00000000-0002-0000-0200-000002000000}">
      <formula1>"1,0.5,0.75"</formula1>
    </dataValidation>
    <dataValidation type="list" allowBlank="1" showInputMessage="1" showErrorMessage="1" sqref="K33" xr:uid="{00000000-0002-0000-0200-000003000000}">
      <formula1>"あり,なし"</formula1>
    </dataValidation>
    <dataValidation type="whole" imeMode="off" operator="greaterThanOrEqual" allowBlank="1" showInputMessage="1" showErrorMessage="1" errorTitle="エラー" error="数字のみを入力してください！_x000a_例）1人→1" sqref="J33" xr:uid="{00000000-0002-0000-0200-000004000000}">
      <formula1>0</formula1>
    </dataValidation>
    <dataValidation type="whole" imeMode="off" operator="greaterThanOrEqual" allowBlank="1" showInputMessage="1" showErrorMessage="1" errorTitle="エラー" error="数字のみを入力してください！_x000a_例）1人→1" sqref="F27:F28 G27" xr:uid="{00000000-0002-0000-0200-000005000000}">
      <formula1>-99</formula1>
    </dataValidation>
    <dataValidation imeMode="off" allowBlank="1" showInputMessage="1" showErrorMessage="1" sqref="AB3:AL4 B44" xr:uid="{00000000-0002-0000-0200-000006000000}"/>
    <dataValidation type="list" allowBlank="1" showInputMessage="1" showErrorMessage="1" sqref="B68" xr:uid="{00000000-0002-0000-0200-000007000000}">
      <formula1>"生年月日,年齢区分"</formula1>
    </dataValidation>
    <dataValidation type="list" allowBlank="1" showInputMessage="1" showErrorMessage="1" sqref="C74 C83 C92 C101 C110 C119" xr:uid="{00000000-0002-0000-0200-000008000000}">
      <formula1>"自動,65歳以上,65歳未満"</formula1>
    </dataValidation>
  </dataValidations>
  <pageMargins left="0.27559055118110237" right="0.19685039370078741" top="0.74803149606299213" bottom="0.74803149606299213" header="0.31496062992125984" footer="0.31496062992125984"/>
  <pageSetup paperSize="9" scale="67" fitToHeight="0" orientation="landscape" r:id="rId1"/>
  <headerFooter>
    <oddHeader>&amp;C&amp;F&amp;A（各種設定等）</oddHeader>
  </headerFooter>
  <rowBreaks count="2" manualBreakCount="2">
    <brk id="50" max="16383" man="1"/>
    <brk id="10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
                <anchor moveWithCells="1">
                  <from>
                    <xdr:col>10</xdr:col>
                    <xdr:colOff>260350</xdr:colOff>
                    <xdr:row>10</xdr:row>
                    <xdr:rowOff>12700</xdr:rowOff>
                  </from>
                  <to>
                    <xdr:col>10</xdr:col>
                    <xdr:colOff>457200</xdr:colOff>
                    <xdr:row>11</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260350</xdr:colOff>
                    <xdr:row>11</xdr:row>
                    <xdr:rowOff>0</xdr:rowOff>
                  </from>
                  <to>
                    <xdr:col>10</xdr:col>
                    <xdr:colOff>546100</xdr:colOff>
                    <xdr:row>12</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260350</xdr:colOff>
                    <xdr:row>11</xdr:row>
                    <xdr:rowOff>165100</xdr:rowOff>
                  </from>
                  <to>
                    <xdr:col>10</xdr:col>
                    <xdr:colOff>546100</xdr:colOff>
                    <xdr:row>13</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260350</xdr:colOff>
                    <xdr:row>13</xdr:row>
                    <xdr:rowOff>0</xdr:rowOff>
                  </from>
                  <to>
                    <xdr:col>10</xdr:col>
                    <xdr:colOff>546100</xdr:colOff>
                    <xdr:row>14</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260350</xdr:colOff>
                    <xdr:row>13</xdr:row>
                    <xdr:rowOff>165100</xdr:rowOff>
                  </from>
                  <to>
                    <xdr:col>10</xdr:col>
                    <xdr:colOff>546100</xdr:colOff>
                    <xdr:row>15</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10</xdr:col>
                    <xdr:colOff>260350</xdr:colOff>
                    <xdr:row>15</xdr:row>
                    <xdr:rowOff>0</xdr:rowOff>
                  </from>
                  <to>
                    <xdr:col>10</xdr:col>
                    <xdr:colOff>546100</xdr:colOff>
                    <xdr:row>16</xdr:row>
                    <xdr:rowOff>12700</xdr:rowOff>
                  </to>
                </anchor>
              </controlPr>
            </control>
          </mc:Choice>
        </mc:AlternateContent>
        <mc:AlternateContent xmlns:mc="http://schemas.openxmlformats.org/markup-compatibility/2006">
          <mc:Choice Requires="x14">
            <control shapeId="4157" r:id="rId10" name="Check Box 61">
              <controlPr locked="0" defaultSize="0" autoFill="0" autoLine="0" autoPict="0" altText="">
                <anchor moveWithCells="1">
                  <from>
                    <xdr:col>4</xdr:col>
                    <xdr:colOff>438150</xdr:colOff>
                    <xdr:row>52</xdr:row>
                    <xdr:rowOff>12700</xdr:rowOff>
                  </from>
                  <to>
                    <xdr:col>4</xdr:col>
                    <xdr:colOff>641350</xdr:colOff>
                    <xdr:row>53</xdr:row>
                    <xdr:rowOff>12700</xdr:rowOff>
                  </to>
                </anchor>
              </controlPr>
            </control>
          </mc:Choice>
        </mc:AlternateContent>
        <mc:AlternateContent xmlns:mc="http://schemas.openxmlformats.org/markup-compatibility/2006">
          <mc:Choice Requires="x14">
            <control shapeId="4158" r:id="rId11" name="Check Box 62">
              <controlPr locked="0" defaultSize="0" autoFill="0" autoLine="0" autoPict="0" altText="">
                <anchor moveWithCells="1">
                  <from>
                    <xdr:col>4</xdr:col>
                    <xdr:colOff>438150</xdr:colOff>
                    <xdr:row>53</xdr:row>
                    <xdr:rowOff>12700</xdr:rowOff>
                  </from>
                  <to>
                    <xdr:col>4</xdr:col>
                    <xdr:colOff>641350</xdr:colOff>
                    <xdr:row>54</xdr:row>
                    <xdr:rowOff>12700</xdr:rowOff>
                  </to>
                </anchor>
              </controlPr>
            </control>
          </mc:Choice>
        </mc:AlternateContent>
        <mc:AlternateContent xmlns:mc="http://schemas.openxmlformats.org/markup-compatibility/2006">
          <mc:Choice Requires="x14">
            <control shapeId="4159" r:id="rId12" name="Check Box 63">
              <controlPr locked="0" defaultSize="0" autoFill="0" autoLine="0" autoPict="0" altText="">
                <anchor moveWithCells="1">
                  <from>
                    <xdr:col>4</xdr:col>
                    <xdr:colOff>438150</xdr:colOff>
                    <xdr:row>54</xdr:row>
                    <xdr:rowOff>12700</xdr:rowOff>
                  </from>
                  <to>
                    <xdr:col>4</xdr:col>
                    <xdr:colOff>641350</xdr:colOff>
                    <xdr:row>55</xdr:row>
                    <xdr:rowOff>12700</xdr:rowOff>
                  </to>
                </anchor>
              </controlPr>
            </control>
          </mc:Choice>
        </mc:AlternateContent>
        <mc:AlternateContent xmlns:mc="http://schemas.openxmlformats.org/markup-compatibility/2006">
          <mc:Choice Requires="x14">
            <control shapeId="4160" r:id="rId13" name="Check Box 64">
              <controlPr locked="0" defaultSize="0" autoFill="0" autoLine="0" autoPict="0" altText="">
                <anchor moveWithCells="1">
                  <from>
                    <xdr:col>4</xdr:col>
                    <xdr:colOff>438150</xdr:colOff>
                    <xdr:row>55</xdr:row>
                    <xdr:rowOff>12700</xdr:rowOff>
                  </from>
                  <to>
                    <xdr:col>4</xdr:col>
                    <xdr:colOff>641350</xdr:colOff>
                    <xdr:row>56</xdr:row>
                    <xdr:rowOff>12700</xdr:rowOff>
                  </to>
                </anchor>
              </controlPr>
            </control>
          </mc:Choice>
        </mc:AlternateContent>
        <mc:AlternateContent xmlns:mc="http://schemas.openxmlformats.org/markup-compatibility/2006">
          <mc:Choice Requires="x14">
            <control shapeId="4161" r:id="rId14" name="Check Box 65">
              <controlPr locked="0" defaultSize="0" autoFill="0" autoLine="0" autoPict="0" altText="">
                <anchor moveWithCells="1">
                  <from>
                    <xdr:col>4</xdr:col>
                    <xdr:colOff>438150</xdr:colOff>
                    <xdr:row>56</xdr:row>
                    <xdr:rowOff>12700</xdr:rowOff>
                  </from>
                  <to>
                    <xdr:col>4</xdr:col>
                    <xdr:colOff>641350</xdr:colOff>
                    <xdr:row>57</xdr:row>
                    <xdr:rowOff>12700</xdr:rowOff>
                  </to>
                </anchor>
              </controlPr>
            </control>
          </mc:Choice>
        </mc:AlternateContent>
        <mc:AlternateContent xmlns:mc="http://schemas.openxmlformats.org/markup-compatibility/2006">
          <mc:Choice Requires="x14">
            <control shapeId="4162" r:id="rId15" name="Check Box 66">
              <controlPr locked="0" defaultSize="0" autoFill="0" autoLine="0" autoPict="0" altText="">
                <anchor moveWithCells="1">
                  <from>
                    <xdr:col>4</xdr:col>
                    <xdr:colOff>438150</xdr:colOff>
                    <xdr:row>57</xdr:row>
                    <xdr:rowOff>12700</xdr:rowOff>
                  </from>
                  <to>
                    <xdr:col>4</xdr:col>
                    <xdr:colOff>641350</xdr:colOff>
                    <xdr:row>58</xdr:row>
                    <xdr:rowOff>0</xdr:rowOff>
                  </to>
                </anchor>
              </controlPr>
            </control>
          </mc:Choice>
        </mc:AlternateContent>
        <mc:AlternateContent xmlns:mc="http://schemas.openxmlformats.org/markup-compatibility/2006">
          <mc:Choice Requires="x14">
            <control shapeId="4165" r:id="rId16" name="Check Box 69">
              <controlPr defaultSize="0" autoFill="0" autoLine="0" autoPict="0">
                <anchor moveWithCells="1">
                  <from>
                    <xdr:col>19</xdr:col>
                    <xdr:colOff>431800</xdr:colOff>
                    <xdr:row>12</xdr:row>
                    <xdr:rowOff>165100</xdr:rowOff>
                  </from>
                  <to>
                    <xdr:col>20</xdr:col>
                    <xdr:colOff>19050</xdr:colOff>
                    <xdr:row>14</xdr:row>
                    <xdr:rowOff>0</xdr:rowOff>
                  </to>
                </anchor>
              </controlPr>
            </control>
          </mc:Choice>
        </mc:AlternateContent>
        <mc:AlternateContent xmlns:mc="http://schemas.openxmlformats.org/markup-compatibility/2006">
          <mc:Choice Requires="x14">
            <control shapeId="4166" r:id="rId17" name="Check Box 70">
              <controlPr defaultSize="0" autoFill="0" autoLine="0" autoPict="0">
                <anchor moveWithCells="1">
                  <from>
                    <xdr:col>19</xdr:col>
                    <xdr:colOff>431800</xdr:colOff>
                    <xdr:row>13</xdr:row>
                    <xdr:rowOff>133350</xdr:rowOff>
                  </from>
                  <to>
                    <xdr:col>20</xdr:col>
                    <xdr:colOff>0</xdr:colOff>
                    <xdr:row>15</xdr:row>
                    <xdr:rowOff>38100</xdr:rowOff>
                  </to>
                </anchor>
              </controlPr>
            </control>
          </mc:Choice>
        </mc:AlternateContent>
        <mc:AlternateContent xmlns:mc="http://schemas.openxmlformats.org/markup-compatibility/2006">
          <mc:Choice Requires="x14">
            <control shapeId="4169" r:id="rId18" name="Check Box 73">
              <controlPr defaultSize="0" autoFill="0" autoLine="0" autoPict="0">
                <anchor moveWithCells="1">
                  <from>
                    <xdr:col>19</xdr:col>
                    <xdr:colOff>431800</xdr:colOff>
                    <xdr:row>10</xdr:row>
                    <xdr:rowOff>165100</xdr:rowOff>
                  </from>
                  <to>
                    <xdr:col>19</xdr:col>
                    <xdr:colOff>622300</xdr:colOff>
                    <xdr:row>12</xdr:row>
                    <xdr:rowOff>0</xdr:rowOff>
                  </to>
                </anchor>
              </controlPr>
            </control>
          </mc:Choice>
        </mc:AlternateContent>
        <mc:AlternateContent xmlns:mc="http://schemas.openxmlformats.org/markup-compatibility/2006">
          <mc:Choice Requires="x14">
            <control shapeId="4170" r:id="rId19" name="Check Box 74">
              <controlPr defaultSize="0" autoFill="0" autoLine="0" autoPict="0">
                <anchor moveWithCells="1">
                  <from>
                    <xdr:col>19</xdr:col>
                    <xdr:colOff>431800</xdr:colOff>
                    <xdr:row>11</xdr:row>
                    <xdr:rowOff>152400</xdr:rowOff>
                  </from>
                  <to>
                    <xdr:col>20</xdr:col>
                    <xdr:colOff>12700</xdr:colOff>
                    <xdr:row>13</xdr:row>
                    <xdr:rowOff>31750</xdr:rowOff>
                  </to>
                </anchor>
              </controlPr>
            </control>
          </mc:Choice>
        </mc:AlternateContent>
        <mc:AlternateContent xmlns:mc="http://schemas.openxmlformats.org/markup-compatibility/2006">
          <mc:Choice Requires="x14">
            <control shapeId="4171" r:id="rId20" name="Check Box 75">
              <controlPr defaultSize="0" autoFill="0" autoLine="0" autoPict="0">
                <anchor moveWithCells="1">
                  <from>
                    <xdr:col>19</xdr:col>
                    <xdr:colOff>431800</xdr:colOff>
                    <xdr:row>15</xdr:row>
                    <xdr:rowOff>0</xdr:rowOff>
                  </from>
                  <to>
                    <xdr:col>19</xdr:col>
                    <xdr:colOff>622300</xdr:colOff>
                    <xdr:row>16</xdr:row>
                    <xdr:rowOff>12700</xdr:rowOff>
                  </to>
                </anchor>
              </controlPr>
            </control>
          </mc:Choice>
        </mc:AlternateContent>
        <mc:AlternateContent xmlns:mc="http://schemas.openxmlformats.org/markup-compatibility/2006">
          <mc:Choice Requires="x14">
            <control shapeId="4172" r:id="rId21" name="Check Box 76">
              <controlPr locked="0" defaultSize="0" autoFill="0" autoLine="0" autoPict="0" altText="">
                <anchor moveWithCells="1">
                  <from>
                    <xdr:col>19</xdr:col>
                    <xdr:colOff>431800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4173" r:id="rId22" name="Button 77">
              <controlPr defaultSize="0" print="0" autoFill="0" autoPict="0" macro="[0]!uehe01">
                <anchor moveWithCells="1" sizeWithCells="1">
                  <from>
                    <xdr:col>26</xdr:col>
                    <xdr:colOff>171450</xdr:colOff>
                    <xdr:row>2</xdr:row>
                    <xdr:rowOff>88900</xdr:rowOff>
                  </from>
                  <to>
                    <xdr:col>26</xdr:col>
                    <xdr:colOff>412750</xdr:colOff>
                    <xdr:row>3</xdr:row>
                    <xdr:rowOff>114300</xdr:rowOff>
                  </to>
                </anchor>
              </controlPr>
            </control>
          </mc:Choice>
        </mc:AlternateContent>
        <mc:AlternateContent xmlns:mc="http://schemas.openxmlformats.org/markup-compatibility/2006">
          <mc:Choice Requires="x14">
            <control shapeId="4174" r:id="rId23" name="Button 78">
              <controlPr defaultSize="0" print="0" autoFill="0" autoPict="0" macro="[0]!kiwari01">
                <anchor>
                  <from>
                    <xdr:col>44</xdr:col>
                    <xdr:colOff>590550</xdr:colOff>
                    <xdr:row>1</xdr:row>
                    <xdr:rowOff>12700</xdr:rowOff>
                  </from>
                  <to>
                    <xdr:col>45</xdr:col>
                    <xdr:colOff>679450</xdr:colOff>
                    <xdr:row>2</xdr:row>
                    <xdr:rowOff>107950</xdr:rowOff>
                  </to>
                </anchor>
              </controlPr>
            </control>
          </mc:Choice>
        </mc:AlternateContent>
        <mc:AlternateContent xmlns:mc="http://schemas.openxmlformats.org/markup-compatibility/2006">
          <mc:Choice Requires="x14">
            <control shapeId="4175" r:id="rId24" name="Button 79">
              <controlPr defaultSize="0" print="0" autoFill="0" autoPict="0" macro="[0]!kiwari02">
                <anchor>
                  <from>
                    <xdr:col>44</xdr:col>
                    <xdr:colOff>590550</xdr:colOff>
                    <xdr:row>3</xdr:row>
                    <xdr:rowOff>19050</xdr:rowOff>
                  </from>
                  <to>
                    <xdr:col>45</xdr:col>
                    <xdr:colOff>679450</xdr:colOff>
                    <xdr:row>4</xdr:row>
                    <xdr:rowOff>114300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使い方</vt:lpstr>
      <vt:lpstr>計算</vt:lpstr>
      <vt:lpstr>表</vt:lpstr>
      <vt:lpstr>計算!Print_Area</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2024-12-18T02:17:03Z</cp:lastPrinted>
  <dcterms:created xsi:type="dcterms:W3CDTF">2018-01-23T00:46:06Z</dcterms:created>
  <dcterms:modified xsi:type="dcterms:W3CDTF">2024-12-18T02:21:25Z</dcterms:modified>
</cp:coreProperties>
</file>