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1文化担当\010_施設管理（総括）\00 指定管理者\H31（選定）\15_質問\区民文化センター\回答\"/>
    </mc:Choice>
  </mc:AlternateContent>
  <bookViews>
    <workbookView xWindow="600" yWindow="120" windowWidth="19395" windowHeight="7830"/>
  </bookViews>
  <sheets>
    <sheet name="備品一覧2" sheetId="1" r:id="rId1"/>
  </sheets>
  <calcPr calcId="152511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J2" i="1"/>
  <c r="K2" i="1"/>
  <c r="L2" i="1"/>
  <c r="M2" i="1"/>
  <c r="A3" i="1"/>
  <c r="B3" i="1"/>
  <c r="C3" i="1"/>
  <c r="D3" i="1"/>
  <c r="E3" i="1"/>
  <c r="F3" i="1"/>
  <c r="G3" i="1"/>
  <c r="H3" i="1"/>
  <c r="I3" i="1"/>
  <c r="J3" i="1"/>
  <c r="K3" i="1"/>
  <c r="L3" i="1"/>
  <c r="M3" i="1"/>
  <c r="A4" i="1"/>
  <c r="B4" i="1"/>
  <c r="C4" i="1"/>
  <c r="D4" i="1"/>
  <c r="E4" i="1"/>
  <c r="F4" i="1"/>
  <c r="G4" i="1"/>
  <c r="H4" i="1"/>
  <c r="I4" i="1"/>
  <c r="J4" i="1"/>
  <c r="K4" i="1"/>
  <c r="L4" i="1"/>
  <c r="M4" i="1"/>
  <c r="A5" i="1"/>
  <c r="B5" i="1"/>
  <c r="C5" i="1"/>
  <c r="D5" i="1"/>
  <c r="E5" i="1"/>
  <c r="F5" i="1"/>
  <c r="G5" i="1"/>
  <c r="H5" i="1"/>
  <c r="I5" i="1"/>
  <c r="J5" i="1"/>
  <c r="K5" i="1"/>
  <c r="L5" i="1"/>
  <c r="M5" i="1"/>
  <c r="A6" i="1"/>
  <c r="B6" i="1"/>
  <c r="C6" i="1"/>
  <c r="D6" i="1"/>
  <c r="E6" i="1"/>
  <c r="F6" i="1"/>
  <c r="G6" i="1"/>
  <c r="H6" i="1"/>
  <c r="I6" i="1"/>
  <c r="J6" i="1"/>
  <c r="K6" i="1"/>
  <c r="L6" i="1"/>
  <c r="M6" i="1"/>
  <c r="A7" i="1"/>
  <c r="B7" i="1"/>
  <c r="C7" i="1"/>
  <c r="D7" i="1"/>
  <c r="E7" i="1"/>
  <c r="F7" i="1"/>
  <c r="G7" i="1"/>
  <c r="H7" i="1"/>
  <c r="I7" i="1"/>
  <c r="J7" i="1"/>
  <c r="K7" i="1"/>
  <c r="L7" i="1"/>
  <c r="M7" i="1"/>
  <c r="A8" i="1"/>
  <c r="B8" i="1"/>
  <c r="C8" i="1"/>
  <c r="D8" i="1"/>
  <c r="E8" i="1"/>
  <c r="F8" i="1"/>
  <c r="G8" i="1"/>
  <c r="H8" i="1"/>
  <c r="I8" i="1"/>
  <c r="J8" i="1"/>
  <c r="K8" i="1"/>
  <c r="L8" i="1"/>
  <c r="M8" i="1"/>
  <c r="A9" i="1"/>
  <c r="B9" i="1"/>
  <c r="C9" i="1"/>
  <c r="D9" i="1"/>
  <c r="E9" i="1"/>
  <c r="F9" i="1"/>
  <c r="G9" i="1"/>
  <c r="H9" i="1"/>
  <c r="I9" i="1"/>
  <c r="J9" i="1"/>
  <c r="K9" i="1"/>
  <c r="L9" i="1"/>
  <c r="M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A337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A338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A341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A344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A345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A348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A349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A352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A353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A356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A357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A360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A361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A364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A365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A368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A369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A372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A373" i="1"/>
  <c r="B373" i="1"/>
  <c r="C373" i="1"/>
  <c r="D373" i="1"/>
  <c r="E373" i="1"/>
  <c r="F373" i="1"/>
  <c r="G373" i="1"/>
  <c r="H373" i="1"/>
  <c r="I373" i="1"/>
  <c r="J373" i="1"/>
  <c r="K373" i="1"/>
  <c r="L373" i="1"/>
  <c r="M373" i="1"/>
</calcChain>
</file>

<file path=xl/sharedStrings.xml><?xml version="1.0" encoding="utf-8"?>
<sst xmlns="http://schemas.openxmlformats.org/spreadsheetml/2006/main" count="13" uniqueCount="13">
  <si>
    <t>所属Ｃ</t>
  </si>
  <si>
    <t>所属名称</t>
  </si>
  <si>
    <t>備品分類</t>
  </si>
  <si>
    <t>小分類名称</t>
  </si>
  <si>
    <t>形状・その他</t>
  </si>
  <si>
    <t>使用場所</t>
  </si>
  <si>
    <t>整理番号本番</t>
  </si>
  <si>
    <t>整理番号枝番</t>
  </si>
  <si>
    <t>異動日</t>
  </si>
  <si>
    <t>価額</t>
  </si>
  <si>
    <t>単位</t>
  </si>
  <si>
    <t>取得日</t>
  </si>
  <si>
    <t>使用開始日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</si>
</sst>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3"/>
  <sheetViews>
    <sheetView tabSelected="1" topLeftCell="B1" workbookViewId="0">
      <selection activeCell="F376" sqref="F376"/>
    </sheetView>
  </sheetViews>
  <sheetFormatPr defaultRowHeight="13.5" x14ac:dyDescent="0.15"/>
  <cols>
    <col min="1" max="1" width="17.625" customWidth="1"/>
    <col min="2" max="2" width="17.25" customWidth="1"/>
    <col min="3" max="3" width="17.625" customWidth="1"/>
    <col min="4" max="4" width="13.75" customWidth="1"/>
    <col min="5" max="5" width="12" customWidth="1"/>
    <col min="6" max="6" width="12.5" customWidth="1"/>
    <col min="7" max="7" width="13" customWidth="1"/>
    <col min="8" max="8" width="11.125" customWidth="1"/>
    <col min="13" max="13" width="11.5" customWidth="1"/>
  </cols>
  <sheetData>
    <row r="1" spans="1: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15">
      <c r="A2" t="str">
        <f t="shared" ref="A2:A65" si="0">"1851110500"</f>
        <v>1851110500</v>
      </c>
      <c r="B2" t="str">
        <f t="shared" ref="B2:B65" si="1">"安佐南・区政調整"</f>
        <v>安佐南・区政調整</v>
      </c>
      <c r="C2" t="str">
        <f>"01ｲ00301"</f>
        <v>01ｲ00301</v>
      </c>
      <c r="D2" t="str">
        <f>"椅子"</f>
        <v>椅子</v>
      </c>
      <c r="E2" t="str">
        <f>"コンビチャチャ　ベビーチェア"</f>
        <v>コンビチャチャ　ベビーチェア</v>
      </c>
      <c r="F2" t="str">
        <f t="shared" ref="F2:F65" si="2">"００６０"</f>
        <v>００６０</v>
      </c>
      <c r="G2" t="str">
        <f>"4110002849"</f>
        <v>4110002849</v>
      </c>
      <c r="H2" t="str">
        <f t="shared" ref="H2:H12" si="3">"001"</f>
        <v>001</v>
      </c>
      <c r="I2" t="str">
        <f>"4120329"</f>
        <v>4120329</v>
      </c>
      <c r="J2">
        <f>82320</f>
        <v>82320</v>
      </c>
      <c r="K2" t="str">
        <f t="shared" ref="K2:K27" si="4">"脚"</f>
        <v>脚</v>
      </c>
      <c r="L2" t="str">
        <f>"4120329"</f>
        <v>4120329</v>
      </c>
      <c r="M2" t="str">
        <f>"4120329"</f>
        <v>4120329</v>
      </c>
    </row>
    <row r="3" spans="1:13" x14ac:dyDescent="0.15">
      <c r="A3" t="str">
        <f t="shared" si="0"/>
        <v>1851110500</v>
      </c>
      <c r="B3" t="str">
        <f t="shared" si="1"/>
        <v>安佐南・区政調整</v>
      </c>
      <c r="C3" t="str">
        <f>"01ｲ00301"</f>
        <v>01ｲ00301</v>
      </c>
      <c r="D3" t="str">
        <f>"椅子"</f>
        <v>椅子</v>
      </c>
      <c r="E3" t="str">
        <f>"コンビチャチャ　ベビーチェア"</f>
        <v>コンビチャチャ　ベビーチェア</v>
      </c>
      <c r="F3" t="str">
        <f t="shared" si="2"/>
        <v>００６０</v>
      </c>
      <c r="G3" t="str">
        <f>"4110002850"</f>
        <v>4110002850</v>
      </c>
      <c r="H3" t="str">
        <f t="shared" si="3"/>
        <v>001</v>
      </c>
      <c r="I3" t="str">
        <f>"4120329"</f>
        <v>4120329</v>
      </c>
      <c r="J3">
        <f>82320</f>
        <v>82320</v>
      </c>
      <c r="K3" t="str">
        <f t="shared" si="4"/>
        <v>脚</v>
      </c>
      <c r="L3" t="str">
        <f>"4120329"</f>
        <v>4120329</v>
      </c>
      <c r="M3" t="str">
        <f>"4120329"</f>
        <v>4120329</v>
      </c>
    </row>
    <row r="4" spans="1:13" x14ac:dyDescent="0.15">
      <c r="A4" t="str">
        <f t="shared" si="0"/>
        <v>1851110500</v>
      </c>
      <c r="B4" t="str">
        <f t="shared" si="1"/>
        <v>安佐南・区政調整</v>
      </c>
      <c r="C4" t="str">
        <f>"01ｲ00301"</f>
        <v>01ｲ00301</v>
      </c>
      <c r="D4" t="str">
        <f>"椅子"</f>
        <v>椅子</v>
      </c>
      <c r="E4" t="str">
        <f>"コンビチャチャ　ベビーチェア"</f>
        <v>コンビチャチャ　ベビーチェア</v>
      </c>
      <c r="F4" t="str">
        <f t="shared" si="2"/>
        <v>００６０</v>
      </c>
      <c r="G4" t="str">
        <f>"4110002851"</f>
        <v>4110002851</v>
      </c>
      <c r="H4" t="str">
        <f t="shared" si="3"/>
        <v>001</v>
      </c>
      <c r="I4" t="str">
        <f>"4120329"</f>
        <v>4120329</v>
      </c>
      <c r="J4">
        <f>82320</f>
        <v>82320</v>
      </c>
      <c r="K4" t="str">
        <f t="shared" si="4"/>
        <v>脚</v>
      </c>
      <c r="L4" t="str">
        <f>"4120329"</f>
        <v>4120329</v>
      </c>
      <c r="M4" t="str">
        <f>"4120329"</f>
        <v>4120329</v>
      </c>
    </row>
    <row r="5" spans="1:13" x14ac:dyDescent="0.15">
      <c r="A5" t="str">
        <f t="shared" si="0"/>
        <v>1851110500</v>
      </c>
      <c r="B5" t="str">
        <f t="shared" si="1"/>
        <v>安佐南・区政調整</v>
      </c>
      <c r="C5" t="str">
        <f t="shared" ref="C5:C26" si="5">"01ｲ00307"</f>
        <v>01ｲ00307</v>
      </c>
      <c r="D5" t="str">
        <f t="shared" ref="D5:D26" si="6">"長椅子"</f>
        <v>長椅子</v>
      </c>
      <c r="E5" t="str">
        <f>"背なし"</f>
        <v>背なし</v>
      </c>
      <c r="F5" t="str">
        <f t="shared" si="2"/>
        <v>００６０</v>
      </c>
      <c r="G5" t="str">
        <f>"3590002200"</f>
        <v>3590002200</v>
      </c>
      <c r="H5" t="str">
        <f t="shared" si="3"/>
        <v>001</v>
      </c>
      <c r="I5" t="str">
        <f>"4100401"</f>
        <v>4100401</v>
      </c>
      <c r="J5">
        <f>26000</f>
        <v>26000</v>
      </c>
      <c r="K5" t="str">
        <f t="shared" si="4"/>
        <v>脚</v>
      </c>
      <c r="L5" t="str">
        <f>"3600110"</f>
        <v>3600110</v>
      </c>
      <c r="M5" t="str">
        <f>""</f>
        <v/>
      </c>
    </row>
    <row r="6" spans="1:13" x14ac:dyDescent="0.15">
      <c r="A6" t="str">
        <f t="shared" si="0"/>
        <v>1851110500</v>
      </c>
      <c r="B6" t="str">
        <f t="shared" si="1"/>
        <v>安佐南・区政調整</v>
      </c>
      <c r="C6" t="str">
        <f t="shared" si="5"/>
        <v>01ｲ00307</v>
      </c>
      <c r="D6" t="str">
        <f t="shared" si="6"/>
        <v>長椅子</v>
      </c>
      <c r="E6" t="str">
        <f>"背なし"</f>
        <v>背なし</v>
      </c>
      <c r="F6" t="str">
        <f t="shared" si="2"/>
        <v>００６０</v>
      </c>
      <c r="G6" t="str">
        <f>"3590002203"</f>
        <v>3590002203</v>
      </c>
      <c r="H6" t="str">
        <f t="shared" si="3"/>
        <v>001</v>
      </c>
      <c r="I6" t="str">
        <f>"4100401"</f>
        <v>4100401</v>
      </c>
      <c r="J6">
        <f>26000</f>
        <v>26000</v>
      </c>
      <c r="K6" t="str">
        <f t="shared" si="4"/>
        <v>脚</v>
      </c>
      <c r="L6" t="str">
        <f>"3600110"</f>
        <v>3600110</v>
      </c>
      <c r="M6" t="str">
        <f>""</f>
        <v/>
      </c>
    </row>
    <row r="7" spans="1:13" x14ac:dyDescent="0.15">
      <c r="A7" t="str">
        <f t="shared" si="0"/>
        <v>1851110500</v>
      </c>
      <c r="B7" t="str">
        <f t="shared" si="1"/>
        <v>安佐南・区政調整</v>
      </c>
      <c r="C7" t="str">
        <f t="shared" si="5"/>
        <v>01ｲ00307</v>
      </c>
      <c r="D7" t="str">
        <f t="shared" si="6"/>
        <v>長椅子</v>
      </c>
      <c r="E7" t="str">
        <f>"背なし　１７６５×６００×４２５"</f>
        <v>背なし　１７６５×６００×４２５</v>
      </c>
      <c r="F7" t="str">
        <f t="shared" si="2"/>
        <v>００６０</v>
      </c>
      <c r="G7" t="str">
        <f>"4240004357"</f>
        <v>4240004357</v>
      </c>
      <c r="H7" t="str">
        <f t="shared" si="3"/>
        <v>001</v>
      </c>
      <c r="I7" t="str">
        <f>"4241204"</f>
        <v>4241204</v>
      </c>
      <c r="J7">
        <f>83500</f>
        <v>83500</v>
      </c>
      <c r="K7" t="str">
        <f t="shared" si="4"/>
        <v>脚</v>
      </c>
      <c r="L7" t="str">
        <f>"4241204"</f>
        <v>4241204</v>
      </c>
      <c r="M7" t="str">
        <f>"4241212"</f>
        <v>4241212</v>
      </c>
    </row>
    <row r="8" spans="1:13" x14ac:dyDescent="0.15">
      <c r="A8" t="str">
        <f t="shared" si="0"/>
        <v>1851110500</v>
      </c>
      <c r="B8" t="str">
        <f t="shared" si="1"/>
        <v>安佐南・区政調整</v>
      </c>
      <c r="C8" t="str">
        <f t="shared" si="5"/>
        <v>01ｲ00307</v>
      </c>
      <c r="D8" t="str">
        <f t="shared" si="6"/>
        <v>長椅子</v>
      </c>
      <c r="E8" t="str">
        <f>"背なし　１７６５×６００×４２５"</f>
        <v>背なし　１７６５×６００×４２５</v>
      </c>
      <c r="F8" t="str">
        <f t="shared" si="2"/>
        <v>００６０</v>
      </c>
      <c r="G8" t="str">
        <f>"4240004358"</f>
        <v>4240004358</v>
      </c>
      <c r="H8" t="str">
        <f t="shared" si="3"/>
        <v>001</v>
      </c>
      <c r="I8" t="str">
        <f>"4241204"</f>
        <v>4241204</v>
      </c>
      <c r="J8">
        <f>83500</f>
        <v>83500</v>
      </c>
      <c r="K8" t="str">
        <f t="shared" si="4"/>
        <v>脚</v>
      </c>
      <c r="L8" t="str">
        <f>"4241204"</f>
        <v>4241204</v>
      </c>
      <c r="M8" t="str">
        <f>"4241212"</f>
        <v>4241212</v>
      </c>
    </row>
    <row r="9" spans="1:13" x14ac:dyDescent="0.15">
      <c r="A9" t="str">
        <f t="shared" si="0"/>
        <v>1851110500</v>
      </c>
      <c r="B9" t="str">
        <f t="shared" si="1"/>
        <v>安佐南・区政調整</v>
      </c>
      <c r="C9" t="str">
        <f t="shared" si="5"/>
        <v>01ｲ00307</v>
      </c>
      <c r="D9" t="str">
        <f t="shared" si="6"/>
        <v>長椅子</v>
      </c>
      <c r="E9" t="str">
        <f>"背なし　１７６５×６００×４２５"</f>
        <v>背なし　１７６５×６００×４２５</v>
      </c>
      <c r="F9" t="str">
        <f t="shared" si="2"/>
        <v>００６０</v>
      </c>
      <c r="G9" t="str">
        <f>"4240004359"</f>
        <v>4240004359</v>
      </c>
      <c r="H9" t="str">
        <f t="shared" si="3"/>
        <v>001</v>
      </c>
      <c r="I9" t="str">
        <f>"4241204"</f>
        <v>4241204</v>
      </c>
      <c r="J9">
        <f>83500</f>
        <v>83500</v>
      </c>
      <c r="K9" t="str">
        <f t="shared" si="4"/>
        <v>脚</v>
      </c>
      <c r="L9" t="str">
        <f>"4241204"</f>
        <v>4241204</v>
      </c>
      <c r="M9" t="str">
        <f>"4241212"</f>
        <v>4241212</v>
      </c>
    </row>
    <row r="10" spans="1:13" x14ac:dyDescent="0.15">
      <c r="A10" t="str">
        <f t="shared" si="0"/>
        <v>1851110500</v>
      </c>
      <c r="B10" t="str">
        <f t="shared" si="1"/>
        <v>安佐南・区政調整</v>
      </c>
      <c r="C10" t="str">
        <f t="shared" si="5"/>
        <v>01ｲ00307</v>
      </c>
      <c r="D10" t="str">
        <f t="shared" si="6"/>
        <v>長椅子</v>
      </c>
      <c r="E10" t="str">
        <f>"背なし　１７６５×６００×４２５"</f>
        <v>背なし　１７６５×６００×４２５</v>
      </c>
      <c r="F10" t="str">
        <f t="shared" si="2"/>
        <v>００６０</v>
      </c>
      <c r="G10" t="str">
        <f>"4240004360"</f>
        <v>4240004360</v>
      </c>
      <c r="H10" t="str">
        <f t="shared" si="3"/>
        <v>001</v>
      </c>
      <c r="I10" t="str">
        <f>"4241204"</f>
        <v>4241204</v>
      </c>
      <c r="J10">
        <f>83500</f>
        <v>83500</v>
      </c>
      <c r="K10" t="str">
        <f t="shared" si="4"/>
        <v>脚</v>
      </c>
      <c r="L10" t="str">
        <f>"4241204"</f>
        <v>4241204</v>
      </c>
      <c r="M10" t="str">
        <f>"4241212"</f>
        <v>4241212</v>
      </c>
    </row>
    <row r="11" spans="1:13" x14ac:dyDescent="0.15">
      <c r="A11" t="str">
        <f t="shared" si="0"/>
        <v>1851110500</v>
      </c>
      <c r="B11" t="str">
        <f t="shared" si="1"/>
        <v>安佐南・区政調整</v>
      </c>
      <c r="C11" t="str">
        <f t="shared" si="5"/>
        <v>01ｲ00307</v>
      </c>
      <c r="D11" t="str">
        <f t="shared" si="6"/>
        <v>長椅子</v>
      </c>
      <c r="E11" t="str">
        <f>"背なし　１７６５×６００×４２５"</f>
        <v>背なし　１７６５×６００×４２５</v>
      </c>
      <c r="F11" t="str">
        <f t="shared" si="2"/>
        <v>００６０</v>
      </c>
      <c r="G11" t="str">
        <f>"4240004361"</f>
        <v>4240004361</v>
      </c>
      <c r="H11" t="str">
        <f t="shared" si="3"/>
        <v>001</v>
      </c>
      <c r="I11" t="str">
        <f>"4241204"</f>
        <v>4241204</v>
      </c>
      <c r="J11">
        <f>83500</f>
        <v>83500</v>
      </c>
      <c r="K11" t="str">
        <f t="shared" si="4"/>
        <v>脚</v>
      </c>
      <c r="L11" t="str">
        <f>"4241204"</f>
        <v>4241204</v>
      </c>
      <c r="M11" t="str">
        <f>"4241212"</f>
        <v>4241212</v>
      </c>
    </row>
    <row r="12" spans="1:13" x14ac:dyDescent="0.15">
      <c r="A12" t="str">
        <f t="shared" si="0"/>
        <v>1851110500</v>
      </c>
      <c r="B12" t="str">
        <f t="shared" si="1"/>
        <v>安佐南・区政調整</v>
      </c>
      <c r="C12" t="str">
        <f t="shared" si="5"/>
        <v>01ｲ00307</v>
      </c>
      <c r="D12" t="str">
        <f t="shared" si="6"/>
        <v>長椅子</v>
      </c>
      <c r="E12" t="str">
        <f t="shared" ref="E12:E24" si="7">"背なし　１５５０×５５０×４１５"</f>
        <v>背なし　１５５０×５５０×４１５</v>
      </c>
      <c r="F12" t="str">
        <f t="shared" si="2"/>
        <v>００６０</v>
      </c>
      <c r="G12" t="str">
        <f t="shared" ref="G12:G24" si="8">"4250001319"</f>
        <v>4250001319</v>
      </c>
      <c r="H12" t="str">
        <f t="shared" si="3"/>
        <v>001</v>
      </c>
      <c r="I12" t="str">
        <f t="shared" ref="I12:I26" si="9">"4251001"</f>
        <v>4251001</v>
      </c>
      <c r="J12">
        <f>56700</f>
        <v>56700</v>
      </c>
      <c r="K12" t="str">
        <f t="shared" si="4"/>
        <v>脚</v>
      </c>
      <c r="L12" t="str">
        <f t="shared" ref="L12:L24" si="10">"4250926"</f>
        <v>4250926</v>
      </c>
      <c r="M12" t="str">
        <f t="shared" ref="M12:M24" si="11">"4250926"</f>
        <v>4250926</v>
      </c>
    </row>
    <row r="13" spans="1:13" x14ac:dyDescent="0.15">
      <c r="A13" t="str">
        <f t="shared" si="0"/>
        <v>1851110500</v>
      </c>
      <c r="B13" t="str">
        <f t="shared" si="1"/>
        <v>安佐南・区政調整</v>
      </c>
      <c r="C13" t="str">
        <f t="shared" si="5"/>
        <v>01ｲ00307</v>
      </c>
      <c r="D13" t="str">
        <f t="shared" si="6"/>
        <v>長椅子</v>
      </c>
      <c r="E13" t="str">
        <f t="shared" si="7"/>
        <v>背なし　１５５０×５５０×４１５</v>
      </c>
      <c r="F13" t="str">
        <f t="shared" si="2"/>
        <v>００６０</v>
      </c>
      <c r="G13" t="str">
        <f t="shared" si="8"/>
        <v>4250001319</v>
      </c>
      <c r="H13" t="str">
        <f>"002"</f>
        <v>002</v>
      </c>
      <c r="I13" t="str">
        <f t="shared" si="9"/>
        <v>4251001</v>
      </c>
      <c r="J13">
        <f>56700</f>
        <v>56700</v>
      </c>
      <c r="K13" t="str">
        <f t="shared" si="4"/>
        <v>脚</v>
      </c>
      <c r="L13" t="str">
        <f t="shared" si="10"/>
        <v>4250926</v>
      </c>
      <c r="M13" t="str">
        <f t="shared" si="11"/>
        <v>4250926</v>
      </c>
    </row>
    <row r="14" spans="1:13" x14ac:dyDescent="0.15">
      <c r="A14" t="str">
        <f t="shared" si="0"/>
        <v>1851110500</v>
      </c>
      <c r="B14" t="str">
        <f t="shared" si="1"/>
        <v>安佐南・区政調整</v>
      </c>
      <c r="C14" t="str">
        <f t="shared" si="5"/>
        <v>01ｲ00307</v>
      </c>
      <c r="D14" t="str">
        <f t="shared" si="6"/>
        <v>長椅子</v>
      </c>
      <c r="E14" t="str">
        <f t="shared" si="7"/>
        <v>背なし　１５５０×５５０×４１５</v>
      </c>
      <c r="F14" t="str">
        <f t="shared" si="2"/>
        <v>００６０</v>
      </c>
      <c r="G14" t="str">
        <f t="shared" si="8"/>
        <v>4250001319</v>
      </c>
      <c r="H14" t="str">
        <f>"003"</f>
        <v>003</v>
      </c>
      <c r="I14" t="str">
        <f t="shared" si="9"/>
        <v>4251001</v>
      </c>
      <c r="J14">
        <f>56700</f>
        <v>56700</v>
      </c>
      <c r="K14" t="str">
        <f t="shared" si="4"/>
        <v>脚</v>
      </c>
      <c r="L14" t="str">
        <f t="shared" si="10"/>
        <v>4250926</v>
      </c>
      <c r="M14" t="str">
        <f t="shared" si="11"/>
        <v>4250926</v>
      </c>
    </row>
    <row r="15" spans="1:13" x14ac:dyDescent="0.15">
      <c r="A15" t="str">
        <f t="shared" si="0"/>
        <v>1851110500</v>
      </c>
      <c r="B15" t="str">
        <f t="shared" si="1"/>
        <v>安佐南・区政調整</v>
      </c>
      <c r="C15" t="str">
        <f t="shared" si="5"/>
        <v>01ｲ00307</v>
      </c>
      <c r="D15" t="str">
        <f t="shared" si="6"/>
        <v>長椅子</v>
      </c>
      <c r="E15" t="str">
        <f t="shared" si="7"/>
        <v>背なし　１５５０×５５０×４１５</v>
      </c>
      <c r="F15" t="str">
        <f t="shared" si="2"/>
        <v>００６０</v>
      </c>
      <c r="G15" t="str">
        <f t="shared" si="8"/>
        <v>4250001319</v>
      </c>
      <c r="H15" t="str">
        <f>"004"</f>
        <v>004</v>
      </c>
      <c r="I15" t="str">
        <f t="shared" si="9"/>
        <v>4251001</v>
      </c>
      <c r="J15">
        <f>56700</f>
        <v>56700</v>
      </c>
      <c r="K15" t="str">
        <f t="shared" si="4"/>
        <v>脚</v>
      </c>
      <c r="L15" t="str">
        <f t="shared" si="10"/>
        <v>4250926</v>
      </c>
      <c r="M15" t="str">
        <f t="shared" si="11"/>
        <v>4250926</v>
      </c>
    </row>
    <row r="16" spans="1:13" x14ac:dyDescent="0.15">
      <c r="A16" t="str">
        <f t="shared" si="0"/>
        <v>1851110500</v>
      </c>
      <c r="B16" t="str">
        <f t="shared" si="1"/>
        <v>安佐南・区政調整</v>
      </c>
      <c r="C16" t="str">
        <f t="shared" si="5"/>
        <v>01ｲ00307</v>
      </c>
      <c r="D16" t="str">
        <f t="shared" si="6"/>
        <v>長椅子</v>
      </c>
      <c r="E16" t="str">
        <f t="shared" si="7"/>
        <v>背なし　１５５０×５５０×４１５</v>
      </c>
      <c r="F16" t="str">
        <f t="shared" si="2"/>
        <v>００６０</v>
      </c>
      <c r="G16" t="str">
        <f t="shared" si="8"/>
        <v>4250001319</v>
      </c>
      <c r="H16" t="str">
        <f>"005"</f>
        <v>005</v>
      </c>
      <c r="I16" t="str">
        <f t="shared" si="9"/>
        <v>4251001</v>
      </c>
      <c r="J16">
        <f>56700</f>
        <v>56700</v>
      </c>
      <c r="K16" t="str">
        <f t="shared" si="4"/>
        <v>脚</v>
      </c>
      <c r="L16" t="str">
        <f t="shared" si="10"/>
        <v>4250926</v>
      </c>
      <c r="M16" t="str">
        <f t="shared" si="11"/>
        <v>4250926</v>
      </c>
    </row>
    <row r="17" spans="1:13" x14ac:dyDescent="0.15">
      <c r="A17" t="str">
        <f t="shared" si="0"/>
        <v>1851110500</v>
      </c>
      <c r="B17" t="str">
        <f t="shared" si="1"/>
        <v>安佐南・区政調整</v>
      </c>
      <c r="C17" t="str">
        <f t="shared" si="5"/>
        <v>01ｲ00307</v>
      </c>
      <c r="D17" t="str">
        <f t="shared" si="6"/>
        <v>長椅子</v>
      </c>
      <c r="E17" t="str">
        <f t="shared" si="7"/>
        <v>背なし　１５５０×５５０×４１５</v>
      </c>
      <c r="F17" t="str">
        <f t="shared" si="2"/>
        <v>００６０</v>
      </c>
      <c r="G17" t="str">
        <f t="shared" si="8"/>
        <v>4250001319</v>
      </c>
      <c r="H17" t="str">
        <f>"006"</f>
        <v>006</v>
      </c>
      <c r="I17" t="str">
        <f t="shared" si="9"/>
        <v>4251001</v>
      </c>
      <c r="J17">
        <f>56700</f>
        <v>56700</v>
      </c>
      <c r="K17" t="str">
        <f t="shared" si="4"/>
        <v>脚</v>
      </c>
      <c r="L17" t="str">
        <f t="shared" si="10"/>
        <v>4250926</v>
      </c>
      <c r="M17" t="str">
        <f t="shared" si="11"/>
        <v>4250926</v>
      </c>
    </row>
    <row r="18" spans="1:13" x14ac:dyDescent="0.15">
      <c r="A18" t="str">
        <f t="shared" si="0"/>
        <v>1851110500</v>
      </c>
      <c r="B18" t="str">
        <f t="shared" si="1"/>
        <v>安佐南・区政調整</v>
      </c>
      <c r="C18" t="str">
        <f t="shared" si="5"/>
        <v>01ｲ00307</v>
      </c>
      <c r="D18" t="str">
        <f t="shared" si="6"/>
        <v>長椅子</v>
      </c>
      <c r="E18" t="str">
        <f t="shared" si="7"/>
        <v>背なし　１５５０×５５０×４１５</v>
      </c>
      <c r="F18" t="str">
        <f t="shared" si="2"/>
        <v>００６０</v>
      </c>
      <c r="G18" t="str">
        <f t="shared" si="8"/>
        <v>4250001319</v>
      </c>
      <c r="H18" t="str">
        <f>"007"</f>
        <v>007</v>
      </c>
      <c r="I18" t="str">
        <f t="shared" si="9"/>
        <v>4251001</v>
      </c>
      <c r="J18">
        <f>56700</f>
        <v>56700</v>
      </c>
      <c r="K18" t="str">
        <f t="shared" si="4"/>
        <v>脚</v>
      </c>
      <c r="L18" t="str">
        <f t="shared" si="10"/>
        <v>4250926</v>
      </c>
      <c r="M18" t="str">
        <f t="shared" si="11"/>
        <v>4250926</v>
      </c>
    </row>
    <row r="19" spans="1:13" x14ac:dyDescent="0.15">
      <c r="A19" t="str">
        <f t="shared" si="0"/>
        <v>1851110500</v>
      </c>
      <c r="B19" t="str">
        <f t="shared" si="1"/>
        <v>安佐南・区政調整</v>
      </c>
      <c r="C19" t="str">
        <f t="shared" si="5"/>
        <v>01ｲ00307</v>
      </c>
      <c r="D19" t="str">
        <f t="shared" si="6"/>
        <v>長椅子</v>
      </c>
      <c r="E19" t="str">
        <f t="shared" si="7"/>
        <v>背なし　１５５０×５５０×４１５</v>
      </c>
      <c r="F19" t="str">
        <f t="shared" si="2"/>
        <v>００６０</v>
      </c>
      <c r="G19" t="str">
        <f t="shared" si="8"/>
        <v>4250001319</v>
      </c>
      <c r="H19" t="str">
        <f>"008"</f>
        <v>008</v>
      </c>
      <c r="I19" t="str">
        <f t="shared" si="9"/>
        <v>4251001</v>
      </c>
      <c r="J19">
        <f>56700</f>
        <v>56700</v>
      </c>
      <c r="K19" t="str">
        <f t="shared" si="4"/>
        <v>脚</v>
      </c>
      <c r="L19" t="str">
        <f t="shared" si="10"/>
        <v>4250926</v>
      </c>
      <c r="M19" t="str">
        <f t="shared" si="11"/>
        <v>4250926</v>
      </c>
    </row>
    <row r="20" spans="1:13" x14ac:dyDescent="0.15">
      <c r="A20" t="str">
        <f t="shared" si="0"/>
        <v>1851110500</v>
      </c>
      <c r="B20" t="str">
        <f t="shared" si="1"/>
        <v>安佐南・区政調整</v>
      </c>
      <c r="C20" t="str">
        <f t="shared" si="5"/>
        <v>01ｲ00307</v>
      </c>
      <c r="D20" t="str">
        <f t="shared" si="6"/>
        <v>長椅子</v>
      </c>
      <c r="E20" t="str">
        <f t="shared" si="7"/>
        <v>背なし　１５５０×５５０×４１５</v>
      </c>
      <c r="F20" t="str">
        <f t="shared" si="2"/>
        <v>００６０</v>
      </c>
      <c r="G20" t="str">
        <f t="shared" si="8"/>
        <v>4250001319</v>
      </c>
      <c r="H20" t="str">
        <f>"009"</f>
        <v>009</v>
      </c>
      <c r="I20" t="str">
        <f t="shared" si="9"/>
        <v>4251001</v>
      </c>
      <c r="J20">
        <f>56700</f>
        <v>56700</v>
      </c>
      <c r="K20" t="str">
        <f t="shared" si="4"/>
        <v>脚</v>
      </c>
      <c r="L20" t="str">
        <f t="shared" si="10"/>
        <v>4250926</v>
      </c>
      <c r="M20" t="str">
        <f t="shared" si="11"/>
        <v>4250926</v>
      </c>
    </row>
    <row r="21" spans="1:13" x14ac:dyDescent="0.15">
      <c r="A21" t="str">
        <f t="shared" si="0"/>
        <v>1851110500</v>
      </c>
      <c r="B21" t="str">
        <f t="shared" si="1"/>
        <v>安佐南・区政調整</v>
      </c>
      <c r="C21" t="str">
        <f t="shared" si="5"/>
        <v>01ｲ00307</v>
      </c>
      <c r="D21" t="str">
        <f t="shared" si="6"/>
        <v>長椅子</v>
      </c>
      <c r="E21" t="str">
        <f t="shared" si="7"/>
        <v>背なし　１５５０×５５０×４１５</v>
      </c>
      <c r="F21" t="str">
        <f t="shared" si="2"/>
        <v>００６０</v>
      </c>
      <c r="G21" t="str">
        <f t="shared" si="8"/>
        <v>4250001319</v>
      </c>
      <c r="H21" t="str">
        <f>"010"</f>
        <v>010</v>
      </c>
      <c r="I21" t="str">
        <f t="shared" si="9"/>
        <v>4251001</v>
      </c>
      <c r="J21">
        <f>56700</f>
        <v>56700</v>
      </c>
      <c r="K21" t="str">
        <f t="shared" si="4"/>
        <v>脚</v>
      </c>
      <c r="L21" t="str">
        <f t="shared" si="10"/>
        <v>4250926</v>
      </c>
      <c r="M21" t="str">
        <f t="shared" si="11"/>
        <v>4250926</v>
      </c>
    </row>
    <row r="22" spans="1:13" x14ac:dyDescent="0.15">
      <c r="A22" t="str">
        <f t="shared" si="0"/>
        <v>1851110500</v>
      </c>
      <c r="B22" t="str">
        <f t="shared" si="1"/>
        <v>安佐南・区政調整</v>
      </c>
      <c r="C22" t="str">
        <f t="shared" si="5"/>
        <v>01ｲ00307</v>
      </c>
      <c r="D22" t="str">
        <f t="shared" si="6"/>
        <v>長椅子</v>
      </c>
      <c r="E22" t="str">
        <f t="shared" si="7"/>
        <v>背なし　１５５０×５５０×４１５</v>
      </c>
      <c r="F22" t="str">
        <f t="shared" si="2"/>
        <v>００６０</v>
      </c>
      <c r="G22" t="str">
        <f t="shared" si="8"/>
        <v>4250001319</v>
      </c>
      <c r="H22" t="str">
        <f>"011"</f>
        <v>011</v>
      </c>
      <c r="I22" t="str">
        <f t="shared" si="9"/>
        <v>4251001</v>
      </c>
      <c r="J22">
        <f>56700</f>
        <v>56700</v>
      </c>
      <c r="K22" t="str">
        <f t="shared" si="4"/>
        <v>脚</v>
      </c>
      <c r="L22" t="str">
        <f t="shared" si="10"/>
        <v>4250926</v>
      </c>
      <c r="M22" t="str">
        <f t="shared" si="11"/>
        <v>4250926</v>
      </c>
    </row>
    <row r="23" spans="1:13" x14ac:dyDescent="0.15">
      <c r="A23" t="str">
        <f t="shared" si="0"/>
        <v>1851110500</v>
      </c>
      <c r="B23" t="str">
        <f t="shared" si="1"/>
        <v>安佐南・区政調整</v>
      </c>
      <c r="C23" t="str">
        <f t="shared" si="5"/>
        <v>01ｲ00307</v>
      </c>
      <c r="D23" t="str">
        <f t="shared" si="6"/>
        <v>長椅子</v>
      </c>
      <c r="E23" t="str">
        <f t="shared" si="7"/>
        <v>背なし　１５５０×５５０×４１５</v>
      </c>
      <c r="F23" t="str">
        <f t="shared" si="2"/>
        <v>００６０</v>
      </c>
      <c r="G23" t="str">
        <f t="shared" si="8"/>
        <v>4250001319</v>
      </c>
      <c r="H23" t="str">
        <f>"012"</f>
        <v>012</v>
      </c>
      <c r="I23" t="str">
        <f t="shared" si="9"/>
        <v>4251001</v>
      </c>
      <c r="J23">
        <f>56700</f>
        <v>56700</v>
      </c>
      <c r="K23" t="str">
        <f t="shared" si="4"/>
        <v>脚</v>
      </c>
      <c r="L23" t="str">
        <f t="shared" si="10"/>
        <v>4250926</v>
      </c>
      <c r="M23" t="str">
        <f t="shared" si="11"/>
        <v>4250926</v>
      </c>
    </row>
    <row r="24" spans="1:13" x14ac:dyDescent="0.15">
      <c r="A24" t="str">
        <f t="shared" si="0"/>
        <v>1851110500</v>
      </c>
      <c r="B24" t="str">
        <f t="shared" si="1"/>
        <v>安佐南・区政調整</v>
      </c>
      <c r="C24" t="str">
        <f t="shared" si="5"/>
        <v>01ｲ00307</v>
      </c>
      <c r="D24" t="str">
        <f t="shared" si="6"/>
        <v>長椅子</v>
      </c>
      <c r="E24" t="str">
        <f t="shared" si="7"/>
        <v>背なし　１５５０×５５０×４１５</v>
      </c>
      <c r="F24" t="str">
        <f t="shared" si="2"/>
        <v>００６０</v>
      </c>
      <c r="G24" t="str">
        <f t="shared" si="8"/>
        <v>4250001319</v>
      </c>
      <c r="H24" t="str">
        <f>"013"</f>
        <v>013</v>
      </c>
      <c r="I24" t="str">
        <f t="shared" si="9"/>
        <v>4251001</v>
      </c>
      <c r="J24">
        <f>56700</f>
        <v>56700</v>
      </c>
      <c r="K24" t="str">
        <f t="shared" si="4"/>
        <v>脚</v>
      </c>
      <c r="L24" t="str">
        <f t="shared" si="10"/>
        <v>4250926</v>
      </c>
      <c r="M24" t="str">
        <f t="shared" si="11"/>
        <v>4250926</v>
      </c>
    </row>
    <row r="25" spans="1:13" x14ac:dyDescent="0.15">
      <c r="A25" t="str">
        <f t="shared" si="0"/>
        <v>1851110500</v>
      </c>
      <c r="B25" t="str">
        <f t="shared" si="1"/>
        <v>安佐南・区政調整</v>
      </c>
      <c r="C25" t="str">
        <f t="shared" si="5"/>
        <v>01ｲ00307</v>
      </c>
      <c r="D25" t="str">
        <f t="shared" si="6"/>
        <v>長椅子</v>
      </c>
      <c r="E25" t="str">
        <f>"背付　１８００×５４０×６４０"</f>
        <v>背付　１８００×５４０×６４０</v>
      </c>
      <c r="F25" t="str">
        <f t="shared" si="2"/>
        <v>００６０</v>
      </c>
      <c r="G25" t="str">
        <f>"4250001320"</f>
        <v>4250001320</v>
      </c>
      <c r="H25" t="str">
        <f>"001"</f>
        <v>001</v>
      </c>
      <c r="I25" t="str">
        <f t="shared" si="9"/>
        <v>4251001</v>
      </c>
      <c r="J25">
        <f>35550</f>
        <v>35550</v>
      </c>
      <c r="K25" t="str">
        <f t="shared" si="4"/>
        <v>脚</v>
      </c>
      <c r="L25" t="str">
        <f>"4250927"</f>
        <v>4250927</v>
      </c>
      <c r="M25" t="str">
        <f>"4250927"</f>
        <v>4250927</v>
      </c>
    </row>
    <row r="26" spans="1:13" x14ac:dyDescent="0.15">
      <c r="A26" t="str">
        <f t="shared" si="0"/>
        <v>1851110500</v>
      </c>
      <c r="B26" t="str">
        <f t="shared" si="1"/>
        <v>安佐南・区政調整</v>
      </c>
      <c r="C26" t="str">
        <f t="shared" si="5"/>
        <v>01ｲ00307</v>
      </c>
      <c r="D26" t="str">
        <f t="shared" si="6"/>
        <v>長椅子</v>
      </c>
      <c r="E26" t="str">
        <f>"背付　１８００×５４０×６４０"</f>
        <v>背付　１８００×５４０×６４０</v>
      </c>
      <c r="F26" t="str">
        <f t="shared" si="2"/>
        <v>００６０</v>
      </c>
      <c r="G26" t="str">
        <f>"4250001320"</f>
        <v>4250001320</v>
      </c>
      <c r="H26" t="str">
        <f>"002"</f>
        <v>002</v>
      </c>
      <c r="I26" t="str">
        <f t="shared" si="9"/>
        <v>4251001</v>
      </c>
      <c r="J26">
        <f>35550</f>
        <v>35550</v>
      </c>
      <c r="K26" t="str">
        <f t="shared" si="4"/>
        <v>脚</v>
      </c>
      <c r="L26" t="str">
        <f>"4250927"</f>
        <v>4250927</v>
      </c>
      <c r="M26" t="str">
        <f>"4250927"</f>
        <v>4250927</v>
      </c>
    </row>
    <row r="27" spans="1:13" x14ac:dyDescent="0.15">
      <c r="A27" t="str">
        <f t="shared" si="0"/>
        <v>1851110500</v>
      </c>
      <c r="B27" t="str">
        <f t="shared" si="1"/>
        <v>安佐南・区政調整</v>
      </c>
      <c r="C27" t="str">
        <f>"01ｲ00311"</f>
        <v>01ｲ00311</v>
      </c>
      <c r="D27" t="str">
        <f>"肘掛椅子"</f>
        <v>肘掛椅子</v>
      </c>
      <c r="E27" t="str">
        <f>"回転椅子　チトセＮＯＳ－１１２ＲＦ"</f>
        <v>回転椅子　チトセＮＯＳ－１１２ＲＦ</v>
      </c>
      <c r="F27" t="str">
        <f t="shared" si="2"/>
        <v>００６０</v>
      </c>
      <c r="G27" t="str">
        <f>"4070002935"</f>
        <v>4070002935</v>
      </c>
      <c r="H27" t="str">
        <f t="shared" ref="H27:H58" si="12">"001"</f>
        <v>001</v>
      </c>
      <c r="I27" t="str">
        <f>"4100401"</f>
        <v>4100401</v>
      </c>
      <c r="J27">
        <f>21939</f>
        <v>21939</v>
      </c>
      <c r="K27" t="str">
        <f t="shared" si="4"/>
        <v>脚</v>
      </c>
      <c r="L27" t="str">
        <f>"4080322"</f>
        <v>4080322</v>
      </c>
      <c r="M27" t="str">
        <f>"4080322"</f>
        <v>4080322</v>
      </c>
    </row>
    <row r="28" spans="1:13" x14ac:dyDescent="0.15">
      <c r="A28" t="str">
        <f t="shared" si="0"/>
        <v>1851110500</v>
      </c>
      <c r="B28" t="str">
        <f t="shared" si="1"/>
        <v>安佐南・区政調整</v>
      </c>
      <c r="C28" t="str">
        <f>"01ｲ00401"</f>
        <v>01ｲ00401</v>
      </c>
      <c r="D28" t="str">
        <f>"印刷機"</f>
        <v>印刷機</v>
      </c>
      <c r="E28" t="str">
        <f>"リソグラフＭＤ５６５０"</f>
        <v>リソグラフＭＤ５６５０</v>
      </c>
      <c r="F28" t="str">
        <f t="shared" si="2"/>
        <v>００６０</v>
      </c>
      <c r="G28" t="str">
        <f>"4230003106"</f>
        <v>4230003106</v>
      </c>
      <c r="H28" t="str">
        <f t="shared" si="12"/>
        <v>001</v>
      </c>
      <c r="I28" t="str">
        <f>"4231201"</f>
        <v>4231201</v>
      </c>
      <c r="J28">
        <f>1270500</f>
        <v>1270500</v>
      </c>
      <c r="K28" t="str">
        <f>"台"</f>
        <v>台</v>
      </c>
      <c r="L28" t="str">
        <f>"4231201"</f>
        <v>4231201</v>
      </c>
      <c r="M28" t="str">
        <f>""</f>
        <v/>
      </c>
    </row>
    <row r="29" spans="1:13" x14ac:dyDescent="0.15">
      <c r="A29" t="str">
        <f t="shared" si="0"/>
        <v>1851110500</v>
      </c>
      <c r="B29" t="str">
        <f t="shared" si="1"/>
        <v>安佐南・区政調整</v>
      </c>
      <c r="C29" t="str">
        <f>"01ｴ00101"</f>
        <v>01ｴ00101</v>
      </c>
      <c r="D29" t="str">
        <f>"演台"</f>
        <v>演台</v>
      </c>
      <c r="E29" t="str">
        <f>"イトーＣＬＴ‐１１０Ｒ"</f>
        <v>イトーＣＬＴ‐１１０Ｒ</v>
      </c>
      <c r="F29" t="str">
        <f t="shared" si="2"/>
        <v>００６０</v>
      </c>
      <c r="G29" t="str">
        <f>"3590002208"</f>
        <v>3590002208</v>
      </c>
      <c r="H29" t="str">
        <f t="shared" si="12"/>
        <v>001</v>
      </c>
      <c r="I29" t="str">
        <f>"4100401"</f>
        <v>4100401</v>
      </c>
      <c r="J29">
        <f>42900</f>
        <v>42900</v>
      </c>
      <c r="K29" t="str">
        <f>"脚"</f>
        <v>脚</v>
      </c>
      <c r="L29" t="str">
        <f>"3600110"</f>
        <v>3600110</v>
      </c>
      <c r="M29" t="str">
        <f>""</f>
        <v/>
      </c>
    </row>
    <row r="30" spans="1:13" x14ac:dyDescent="0.15">
      <c r="A30" t="str">
        <f t="shared" si="0"/>
        <v>1851110500</v>
      </c>
      <c r="B30" t="str">
        <f t="shared" si="1"/>
        <v>安佐南・区政調整</v>
      </c>
      <c r="C30" t="str">
        <f>"01ｴ00101"</f>
        <v>01ｴ00101</v>
      </c>
      <c r="D30" t="str">
        <f>"演台"</f>
        <v>演台</v>
      </c>
      <c r="E30" t="str">
        <f>"イトーＤＰＭ‐３５Ｒ"</f>
        <v>イトーＤＰＭ‐３５Ｒ</v>
      </c>
      <c r="F30" t="str">
        <f t="shared" si="2"/>
        <v>００６０</v>
      </c>
      <c r="G30" t="str">
        <f>"3590002209"</f>
        <v>3590002209</v>
      </c>
      <c r="H30" t="str">
        <f t="shared" si="12"/>
        <v>001</v>
      </c>
      <c r="I30" t="str">
        <f>"4100401"</f>
        <v>4100401</v>
      </c>
      <c r="J30">
        <f>88800</f>
        <v>88800</v>
      </c>
      <c r="K30" t="str">
        <f>"脚"</f>
        <v>脚</v>
      </c>
      <c r="L30" t="str">
        <f>"3600110"</f>
        <v>3600110</v>
      </c>
      <c r="M30" t="str">
        <f>""</f>
        <v/>
      </c>
    </row>
    <row r="31" spans="1:13" x14ac:dyDescent="0.15">
      <c r="A31" t="str">
        <f t="shared" si="0"/>
        <v>1851110500</v>
      </c>
      <c r="B31" t="str">
        <f t="shared" si="1"/>
        <v>安佐南・区政調整</v>
      </c>
      <c r="C31" t="str">
        <f>"01ｵ00101"</f>
        <v>01ｵ00101</v>
      </c>
      <c r="D31" t="str">
        <f>"応接セット"</f>
        <v>応接セット</v>
      </c>
      <c r="E31" t="str">
        <f>"カリモクＷＳ１１５０"</f>
        <v>カリモクＷＳ１１５０</v>
      </c>
      <c r="F31" t="str">
        <f t="shared" si="2"/>
        <v>００６０</v>
      </c>
      <c r="G31" t="str">
        <f>"3530000803"</f>
        <v>3530000803</v>
      </c>
      <c r="H31" t="str">
        <f t="shared" si="12"/>
        <v>001</v>
      </c>
      <c r="I31" t="str">
        <f>"4100401"</f>
        <v>4100401</v>
      </c>
      <c r="J31">
        <f>46000</f>
        <v>46000</v>
      </c>
      <c r="K31" t="str">
        <f>"組"</f>
        <v>組</v>
      </c>
      <c r="L31" t="str">
        <f>"3530909"</f>
        <v>3530909</v>
      </c>
      <c r="M31" t="str">
        <f>""</f>
        <v/>
      </c>
    </row>
    <row r="32" spans="1:13" x14ac:dyDescent="0.15">
      <c r="A32" t="str">
        <f t="shared" si="0"/>
        <v>1851110500</v>
      </c>
      <c r="B32" t="str">
        <f t="shared" si="1"/>
        <v>安佐南・区政調整</v>
      </c>
      <c r="C32" t="str">
        <f>"01ｶ00201"</f>
        <v>01ｶ00201</v>
      </c>
      <c r="D32" t="str">
        <f>"拡声装置"</f>
        <v>拡声装置</v>
      </c>
      <c r="E32" t="str">
        <f>"ユニペックス　ＷＡ８５２Ｄ"</f>
        <v>ユニペックス　ＷＡ８５２Ｄ</v>
      </c>
      <c r="F32" t="str">
        <f t="shared" si="2"/>
        <v>００６０</v>
      </c>
      <c r="G32" t="str">
        <f>"4190004744"</f>
        <v>4190004744</v>
      </c>
      <c r="H32" t="str">
        <f t="shared" si="12"/>
        <v>001</v>
      </c>
      <c r="I32" t="str">
        <f>"4190920"</f>
        <v>4190920</v>
      </c>
      <c r="J32">
        <f>146790</f>
        <v>146790</v>
      </c>
      <c r="K32" t="str">
        <f>"式"</f>
        <v>式</v>
      </c>
      <c r="L32" t="str">
        <f>"4190920"</f>
        <v>4190920</v>
      </c>
      <c r="M32" t="str">
        <f>""</f>
        <v/>
      </c>
    </row>
    <row r="33" spans="1:13" x14ac:dyDescent="0.15">
      <c r="A33" t="str">
        <f t="shared" si="0"/>
        <v>1851110500</v>
      </c>
      <c r="B33" t="str">
        <f t="shared" si="1"/>
        <v>安佐南・区政調整</v>
      </c>
      <c r="C33" t="str">
        <f>"01ｶ00201"</f>
        <v>01ｶ00201</v>
      </c>
      <c r="D33" t="str">
        <f>"拡声装置"</f>
        <v>拡声装置</v>
      </c>
      <c r="E33" t="str">
        <f>"パナソニック製ＷＸ－ＰＸ３２"</f>
        <v>パナソニック製ＷＸ－ＰＸ３２</v>
      </c>
      <c r="F33" t="str">
        <f t="shared" si="2"/>
        <v>００６０</v>
      </c>
      <c r="G33" t="str">
        <f>"4240004366"</f>
        <v>4240004366</v>
      </c>
      <c r="H33" t="str">
        <f t="shared" si="12"/>
        <v>001</v>
      </c>
      <c r="I33" t="str">
        <f>"4250312"</f>
        <v>4250312</v>
      </c>
      <c r="J33">
        <f>190575</f>
        <v>190575</v>
      </c>
      <c r="K33" t="str">
        <f>"式"</f>
        <v>式</v>
      </c>
      <c r="L33" t="str">
        <f>"4250312"</f>
        <v>4250312</v>
      </c>
      <c r="M33" t="str">
        <f>"4250312"</f>
        <v>4250312</v>
      </c>
    </row>
    <row r="34" spans="1:13" x14ac:dyDescent="0.15">
      <c r="A34" t="str">
        <f t="shared" si="0"/>
        <v>1851110500</v>
      </c>
      <c r="B34" t="str">
        <f t="shared" si="1"/>
        <v>安佐南・区政調整</v>
      </c>
      <c r="C34" t="str">
        <f>"01ｶ00202"</f>
        <v>01ｶ00202</v>
      </c>
      <c r="D34" t="str">
        <f>"アンプ"</f>
        <v>アンプ</v>
      </c>
      <c r="E34" t="str">
        <f>"ＹＡＭＡＨＡ　Ｐ２５００Ｓ"</f>
        <v>ＹＡＭＡＨＡ　Ｐ２５００Ｓ</v>
      </c>
      <c r="F34" t="str">
        <f t="shared" si="2"/>
        <v>００６０</v>
      </c>
      <c r="G34" t="str">
        <f>"4200003751"</f>
        <v>4200003751</v>
      </c>
      <c r="H34" t="str">
        <f t="shared" si="12"/>
        <v>001</v>
      </c>
      <c r="I34" t="str">
        <f>"4200604"</f>
        <v>4200604</v>
      </c>
      <c r="J34">
        <f>59325</f>
        <v>59325</v>
      </c>
      <c r="K34" t="str">
        <f t="shared" ref="K34:K49" si="13">"個"</f>
        <v>個</v>
      </c>
      <c r="L34" t="str">
        <f>"4200604"</f>
        <v>4200604</v>
      </c>
      <c r="M34" t="str">
        <f>""</f>
        <v/>
      </c>
    </row>
    <row r="35" spans="1:13" x14ac:dyDescent="0.15">
      <c r="A35" t="str">
        <f t="shared" si="0"/>
        <v>1851110500</v>
      </c>
      <c r="B35" t="str">
        <f t="shared" si="1"/>
        <v>安佐南・区政調整</v>
      </c>
      <c r="C35" t="str">
        <f>"01ｶ00203"</f>
        <v>01ｶ00203</v>
      </c>
      <c r="D35" t="str">
        <f>"スピーカー"</f>
        <v>スピーカー</v>
      </c>
      <c r="E35" t="str">
        <f>"ＹＡＭＡＨＡ　Ｓ１１２Ｖ"</f>
        <v>ＹＡＭＡＨＡ　Ｓ１１２Ｖ</v>
      </c>
      <c r="F35" t="str">
        <f t="shared" si="2"/>
        <v>００６０</v>
      </c>
      <c r="G35" t="str">
        <f>"4200003752"</f>
        <v>4200003752</v>
      </c>
      <c r="H35" t="str">
        <f t="shared" si="12"/>
        <v>001</v>
      </c>
      <c r="I35" t="str">
        <f>"4200604"</f>
        <v>4200604</v>
      </c>
      <c r="J35">
        <f>43050</f>
        <v>43050</v>
      </c>
      <c r="K35" t="str">
        <f t="shared" si="13"/>
        <v>個</v>
      </c>
      <c r="L35" t="str">
        <f>"4200604"</f>
        <v>4200604</v>
      </c>
      <c r="M35" t="str">
        <f>""</f>
        <v/>
      </c>
    </row>
    <row r="36" spans="1:13" x14ac:dyDescent="0.15">
      <c r="A36" t="str">
        <f t="shared" si="0"/>
        <v>1851110500</v>
      </c>
      <c r="B36" t="str">
        <f t="shared" si="1"/>
        <v>安佐南・区政調整</v>
      </c>
      <c r="C36" t="str">
        <f>"01ｶ00203"</f>
        <v>01ｶ00203</v>
      </c>
      <c r="D36" t="str">
        <f>"スピーカー"</f>
        <v>スピーカー</v>
      </c>
      <c r="E36" t="str">
        <f>"ＹＡＭＡＨＡ　Ｓ１１２Ｖ"</f>
        <v>ＹＡＭＡＨＡ　Ｓ１１２Ｖ</v>
      </c>
      <c r="F36" t="str">
        <f t="shared" si="2"/>
        <v>００６０</v>
      </c>
      <c r="G36" t="str">
        <f>"4200003753"</f>
        <v>4200003753</v>
      </c>
      <c r="H36" t="str">
        <f t="shared" si="12"/>
        <v>001</v>
      </c>
      <c r="I36" t="str">
        <f>"4200604"</f>
        <v>4200604</v>
      </c>
      <c r="J36">
        <f>43050</f>
        <v>43050</v>
      </c>
      <c r="K36" t="str">
        <f t="shared" si="13"/>
        <v>個</v>
      </c>
      <c r="L36" t="str">
        <f>"4200604"</f>
        <v>4200604</v>
      </c>
      <c r="M36" t="str">
        <f>""</f>
        <v/>
      </c>
    </row>
    <row r="37" spans="1:13" x14ac:dyDescent="0.15">
      <c r="A37" t="str">
        <f t="shared" si="0"/>
        <v>1851110500</v>
      </c>
      <c r="B37" t="str">
        <f t="shared" si="1"/>
        <v>安佐南・区政調整</v>
      </c>
      <c r="C37" t="str">
        <f t="shared" ref="C37:C48" si="14">"01ｶ00204"</f>
        <v>01ｶ00204</v>
      </c>
      <c r="D37" t="str">
        <f t="shared" ref="D37:D48" si="15">"マイクロホン"</f>
        <v>マイクロホン</v>
      </c>
      <c r="E37" t="str">
        <f>"リボンマイクベイヤーＭ５００Ｎ"</f>
        <v>リボンマイクベイヤーＭ５００Ｎ</v>
      </c>
      <c r="F37" t="str">
        <f t="shared" si="2"/>
        <v>００６０</v>
      </c>
      <c r="G37" t="str">
        <f>"3590002210"</f>
        <v>3590002210</v>
      </c>
      <c r="H37" t="str">
        <f t="shared" si="12"/>
        <v>001</v>
      </c>
      <c r="I37" t="str">
        <f t="shared" ref="I37:I43" si="16">"4100401"</f>
        <v>4100401</v>
      </c>
      <c r="J37">
        <f>69800</f>
        <v>69800</v>
      </c>
      <c r="K37" t="str">
        <f t="shared" si="13"/>
        <v>個</v>
      </c>
      <c r="L37" t="str">
        <f>"3600108"</f>
        <v>3600108</v>
      </c>
      <c r="M37" t="str">
        <f>""</f>
        <v/>
      </c>
    </row>
    <row r="38" spans="1:13" x14ac:dyDescent="0.15">
      <c r="A38" t="str">
        <f t="shared" si="0"/>
        <v>1851110500</v>
      </c>
      <c r="B38" t="str">
        <f t="shared" si="1"/>
        <v>安佐南・区政調整</v>
      </c>
      <c r="C38" t="str">
        <f t="shared" si="14"/>
        <v>01ｶ00204</v>
      </c>
      <c r="D38" t="str">
        <f t="shared" si="15"/>
        <v>マイクロホン</v>
      </c>
      <c r="E38" t="str">
        <f>"リボンマイクベイヤーＭ５００Ｎ"</f>
        <v>リボンマイクベイヤーＭ５００Ｎ</v>
      </c>
      <c r="F38" t="str">
        <f t="shared" si="2"/>
        <v>００６０</v>
      </c>
      <c r="G38" t="str">
        <f>"3590002211"</f>
        <v>3590002211</v>
      </c>
      <c r="H38" t="str">
        <f t="shared" si="12"/>
        <v>001</v>
      </c>
      <c r="I38" t="str">
        <f t="shared" si="16"/>
        <v>4100401</v>
      </c>
      <c r="J38">
        <f>69800</f>
        <v>69800</v>
      </c>
      <c r="K38" t="str">
        <f t="shared" si="13"/>
        <v>個</v>
      </c>
      <c r="L38" t="str">
        <f>"3600108"</f>
        <v>3600108</v>
      </c>
      <c r="M38" t="str">
        <f>""</f>
        <v/>
      </c>
    </row>
    <row r="39" spans="1:13" x14ac:dyDescent="0.15">
      <c r="A39" t="str">
        <f t="shared" si="0"/>
        <v>1851110500</v>
      </c>
      <c r="B39" t="str">
        <f t="shared" si="1"/>
        <v>安佐南・区政調整</v>
      </c>
      <c r="C39" t="str">
        <f t="shared" si="14"/>
        <v>01ｶ00204</v>
      </c>
      <c r="D39" t="str">
        <f t="shared" si="15"/>
        <v>マイクロホン</v>
      </c>
      <c r="E39" t="str">
        <f>"ソニーＣ３８Ｂ"</f>
        <v>ソニーＣ３８Ｂ</v>
      </c>
      <c r="F39" t="str">
        <f t="shared" si="2"/>
        <v>００６０</v>
      </c>
      <c r="G39" t="str">
        <f>"3590002212"</f>
        <v>3590002212</v>
      </c>
      <c r="H39" t="str">
        <f t="shared" si="12"/>
        <v>001</v>
      </c>
      <c r="I39" t="str">
        <f t="shared" si="16"/>
        <v>4100401</v>
      </c>
      <c r="J39">
        <f>91800</f>
        <v>91800</v>
      </c>
      <c r="K39" t="str">
        <f t="shared" si="13"/>
        <v>個</v>
      </c>
      <c r="L39" t="str">
        <f>"3600110"</f>
        <v>3600110</v>
      </c>
      <c r="M39" t="str">
        <f>""</f>
        <v/>
      </c>
    </row>
    <row r="40" spans="1:13" x14ac:dyDescent="0.15">
      <c r="A40" t="str">
        <f t="shared" si="0"/>
        <v>1851110500</v>
      </c>
      <c r="B40" t="str">
        <f t="shared" si="1"/>
        <v>安佐南・区政調整</v>
      </c>
      <c r="C40" t="str">
        <f t="shared" si="14"/>
        <v>01ｶ00204</v>
      </c>
      <c r="D40" t="str">
        <f t="shared" si="15"/>
        <v>マイクロホン</v>
      </c>
      <c r="E40" t="str">
        <f>"ソニーＣ３８Ｂ"</f>
        <v>ソニーＣ３８Ｂ</v>
      </c>
      <c r="F40" t="str">
        <f t="shared" si="2"/>
        <v>００６０</v>
      </c>
      <c r="G40" t="str">
        <f>"3590002213"</f>
        <v>3590002213</v>
      </c>
      <c r="H40" t="str">
        <f t="shared" si="12"/>
        <v>001</v>
      </c>
      <c r="I40" t="str">
        <f t="shared" si="16"/>
        <v>4100401</v>
      </c>
      <c r="J40">
        <f>91800</f>
        <v>91800</v>
      </c>
      <c r="K40" t="str">
        <f t="shared" si="13"/>
        <v>個</v>
      </c>
      <c r="L40" t="str">
        <f>"3600110"</f>
        <v>3600110</v>
      </c>
      <c r="M40" t="str">
        <f>""</f>
        <v/>
      </c>
    </row>
    <row r="41" spans="1:13" x14ac:dyDescent="0.15">
      <c r="A41" t="str">
        <f t="shared" si="0"/>
        <v>1851110500</v>
      </c>
      <c r="B41" t="str">
        <f t="shared" si="1"/>
        <v>安佐南・区政調整</v>
      </c>
      <c r="C41" t="str">
        <f t="shared" si="14"/>
        <v>01ｶ00204</v>
      </c>
      <c r="D41" t="str">
        <f t="shared" si="15"/>
        <v>マイクロホン</v>
      </c>
      <c r="E41" t="str">
        <f>"ソニーＣ３８Ｂ"</f>
        <v>ソニーＣ３８Ｂ</v>
      </c>
      <c r="F41" t="str">
        <f t="shared" si="2"/>
        <v>００６０</v>
      </c>
      <c r="G41" t="str">
        <f>"3590002214"</f>
        <v>3590002214</v>
      </c>
      <c r="H41" t="str">
        <f t="shared" si="12"/>
        <v>001</v>
      </c>
      <c r="I41" t="str">
        <f t="shared" si="16"/>
        <v>4100401</v>
      </c>
      <c r="J41">
        <f>91800</f>
        <v>91800</v>
      </c>
      <c r="K41" t="str">
        <f t="shared" si="13"/>
        <v>個</v>
      </c>
      <c r="L41" t="str">
        <f>"3600110"</f>
        <v>3600110</v>
      </c>
      <c r="M41" t="str">
        <f>""</f>
        <v/>
      </c>
    </row>
    <row r="42" spans="1:13" x14ac:dyDescent="0.15">
      <c r="A42" t="str">
        <f t="shared" si="0"/>
        <v>1851110500</v>
      </c>
      <c r="B42" t="str">
        <f t="shared" si="1"/>
        <v>安佐南・区政調整</v>
      </c>
      <c r="C42" t="str">
        <f t="shared" si="14"/>
        <v>01ｶ00204</v>
      </c>
      <c r="D42" t="str">
        <f t="shared" si="15"/>
        <v>マイクロホン</v>
      </c>
      <c r="E42" t="str">
        <f>"ソニーＣ３８Ｂ"</f>
        <v>ソニーＣ３８Ｂ</v>
      </c>
      <c r="F42" t="str">
        <f t="shared" si="2"/>
        <v>００６０</v>
      </c>
      <c r="G42" t="str">
        <f>"3590002215"</f>
        <v>3590002215</v>
      </c>
      <c r="H42" t="str">
        <f t="shared" si="12"/>
        <v>001</v>
      </c>
      <c r="I42" t="str">
        <f t="shared" si="16"/>
        <v>4100401</v>
      </c>
      <c r="J42">
        <f>91800</f>
        <v>91800</v>
      </c>
      <c r="K42" t="str">
        <f t="shared" si="13"/>
        <v>個</v>
      </c>
      <c r="L42" t="str">
        <f>"3600110"</f>
        <v>3600110</v>
      </c>
      <c r="M42" t="str">
        <f>""</f>
        <v/>
      </c>
    </row>
    <row r="43" spans="1:13" x14ac:dyDescent="0.15">
      <c r="A43" t="str">
        <f t="shared" si="0"/>
        <v>1851110500</v>
      </c>
      <c r="B43" t="str">
        <f t="shared" si="1"/>
        <v>安佐南・区政調整</v>
      </c>
      <c r="C43" t="str">
        <f t="shared" si="14"/>
        <v>01ｶ00204</v>
      </c>
      <c r="D43" t="str">
        <f t="shared" si="15"/>
        <v>マイクロホン</v>
      </c>
      <c r="E43" t="str">
        <f>"サンケン　ＣＭＳ－２分岐ケーブル含"</f>
        <v>サンケン　ＣＭＳ－２分岐ケーブル含</v>
      </c>
      <c r="F43" t="str">
        <f t="shared" si="2"/>
        <v>００６０</v>
      </c>
      <c r="G43" t="str">
        <f>"4070002936"</f>
        <v>4070002936</v>
      </c>
      <c r="H43" t="str">
        <f t="shared" si="12"/>
        <v>001</v>
      </c>
      <c r="I43" t="str">
        <f t="shared" si="16"/>
        <v>4100401</v>
      </c>
      <c r="J43">
        <f>251835</f>
        <v>251835</v>
      </c>
      <c r="K43" t="str">
        <f t="shared" si="13"/>
        <v>個</v>
      </c>
      <c r="L43" t="str">
        <f>"4070424"</f>
        <v>4070424</v>
      </c>
      <c r="M43" t="str">
        <f>"4070424"</f>
        <v>4070424</v>
      </c>
    </row>
    <row r="44" spans="1:13" x14ac:dyDescent="0.15">
      <c r="A44" t="str">
        <f t="shared" si="0"/>
        <v>1851110500</v>
      </c>
      <c r="B44" t="str">
        <f t="shared" si="1"/>
        <v>安佐南・区政調整</v>
      </c>
      <c r="C44" t="str">
        <f t="shared" si="14"/>
        <v>01ｶ00204</v>
      </c>
      <c r="D44" t="str">
        <f t="shared" si="15"/>
        <v>マイクロホン</v>
      </c>
      <c r="E44" t="str">
        <f>"ＡＭＣＲＯＮ　ＰＣＣ－１６０"</f>
        <v>ＡＭＣＲＯＮ　ＰＣＣ－１６０</v>
      </c>
      <c r="F44" t="str">
        <f t="shared" si="2"/>
        <v>００６０</v>
      </c>
      <c r="G44" t="str">
        <f>"4230003107"</f>
        <v>4230003107</v>
      </c>
      <c r="H44" t="str">
        <f t="shared" si="12"/>
        <v>001</v>
      </c>
      <c r="I44" t="str">
        <f>"4231228"</f>
        <v>4231228</v>
      </c>
      <c r="J44">
        <f>33075</f>
        <v>33075</v>
      </c>
      <c r="K44" t="str">
        <f t="shared" si="13"/>
        <v>個</v>
      </c>
      <c r="L44" t="str">
        <f>"4231228"</f>
        <v>4231228</v>
      </c>
      <c r="M44" t="str">
        <f>""</f>
        <v/>
      </c>
    </row>
    <row r="45" spans="1:13" x14ac:dyDescent="0.15">
      <c r="A45" t="str">
        <f t="shared" si="0"/>
        <v>1851110500</v>
      </c>
      <c r="B45" t="str">
        <f t="shared" si="1"/>
        <v>安佐南・区政調整</v>
      </c>
      <c r="C45" t="str">
        <f t="shared" si="14"/>
        <v>01ｶ00204</v>
      </c>
      <c r="D45" t="str">
        <f t="shared" si="15"/>
        <v>マイクロホン</v>
      </c>
      <c r="E45" t="str">
        <f>"ＡＭＣＲＯＮ　ＰＣＣ－１６０"</f>
        <v>ＡＭＣＲＯＮ　ＰＣＣ－１６０</v>
      </c>
      <c r="F45" t="str">
        <f t="shared" si="2"/>
        <v>００６０</v>
      </c>
      <c r="G45" t="str">
        <f>"4230003108"</f>
        <v>4230003108</v>
      </c>
      <c r="H45" t="str">
        <f t="shared" si="12"/>
        <v>001</v>
      </c>
      <c r="I45" t="str">
        <f>"4231228"</f>
        <v>4231228</v>
      </c>
      <c r="J45">
        <f>33075</f>
        <v>33075</v>
      </c>
      <c r="K45" t="str">
        <f t="shared" si="13"/>
        <v>個</v>
      </c>
      <c r="L45" t="str">
        <f>"4231228"</f>
        <v>4231228</v>
      </c>
      <c r="M45" t="str">
        <f>""</f>
        <v/>
      </c>
    </row>
    <row r="46" spans="1:13" x14ac:dyDescent="0.15">
      <c r="A46" t="str">
        <f t="shared" si="0"/>
        <v>1851110500</v>
      </c>
      <c r="B46" t="str">
        <f t="shared" si="1"/>
        <v>安佐南・区政調整</v>
      </c>
      <c r="C46" t="str">
        <f t="shared" si="14"/>
        <v>01ｶ00204</v>
      </c>
      <c r="D46" t="str">
        <f t="shared" si="15"/>
        <v>マイクロホン</v>
      </c>
      <c r="E46" t="str">
        <f>"ＡＭＣＲＯＮ　ＰＣＣ－１６０"</f>
        <v>ＡＭＣＲＯＮ　ＰＣＣ－１６０</v>
      </c>
      <c r="F46" t="str">
        <f t="shared" si="2"/>
        <v>００６０</v>
      </c>
      <c r="G46" t="str">
        <f>"4230003109"</f>
        <v>4230003109</v>
      </c>
      <c r="H46" t="str">
        <f t="shared" si="12"/>
        <v>001</v>
      </c>
      <c r="I46" t="str">
        <f>"4231228"</f>
        <v>4231228</v>
      </c>
      <c r="J46">
        <f>33075</f>
        <v>33075</v>
      </c>
      <c r="K46" t="str">
        <f t="shared" si="13"/>
        <v>個</v>
      </c>
      <c r="L46" t="str">
        <f>"4231228"</f>
        <v>4231228</v>
      </c>
      <c r="M46" t="str">
        <f>""</f>
        <v/>
      </c>
    </row>
    <row r="47" spans="1:13" x14ac:dyDescent="0.15">
      <c r="A47" t="str">
        <f t="shared" si="0"/>
        <v>1851110500</v>
      </c>
      <c r="B47" t="str">
        <f t="shared" si="1"/>
        <v>安佐南・区政調整</v>
      </c>
      <c r="C47" t="str">
        <f t="shared" si="14"/>
        <v>01ｶ00204</v>
      </c>
      <c r="D47" t="str">
        <f t="shared" si="15"/>
        <v>マイクロホン</v>
      </c>
      <c r="E47" t="str">
        <f>"ＡＭＣＲＯＮ　ＰＣＣ－１６０"</f>
        <v>ＡＭＣＲＯＮ　ＰＣＣ－１６０</v>
      </c>
      <c r="F47" t="str">
        <f t="shared" si="2"/>
        <v>００６０</v>
      </c>
      <c r="G47" t="str">
        <f>"4230003110"</f>
        <v>4230003110</v>
      </c>
      <c r="H47" t="str">
        <f t="shared" si="12"/>
        <v>001</v>
      </c>
      <c r="I47" t="str">
        <f>"4231228"</f>
        <v>4231228</v>
      </c>
      <c r="J47">
        <f>33075</f>
        <v>33075</v>
      </c>
      <c r="K47" t="str">
        <f t="shared" si="13"/>
        <v>個</v>
      </c>
      <c r="L47" t="str">
        <f>"4231228"</f>
        <v>4231228</v>
      </c>
      <c r="M47" t="str">
        <f>""</f>
        <v/>
      </c>
    </row>
    <row r="48" spans="1:13" x14ac:dyDescent="0.15">
      <c r="A48" t="str">
        <f t="shared" si="0"/>
        <v>1851110500</v>
      </c>
      <c r="B48" t="str">
        <f t="shared" si="1"/>
        <v>安佐南・区政調整</v>
      </c>
      <c r="C48" t="str">
        <f t="shared" si="14"/>
        <v>01ｶ00204</v>
      </c>
      <c r="D48" t="str">
        <f t="shared" si="15"/>
        <v>マイクロホン</v>
      </c>
      <c r="E48" t="str">
        <f>"ＡＭＣＲＯＮ　ＰＣＣ－１６０"</f>
        <v>ＡＭＣＲＯＮ　ＰＣＣ－１６０</v>
      </c>
      <c r="F48" t="str">
        <f t="shared" si="2"/>
        <v>００６０</v>
      </c>
      <c r="G48" t="str">
        <f>"4230003111"</f>
        <v>4230003111</v>
      </c>
      <c r="H48" t="str">
        <f t="shared" si="12"/>
        <v>001</v>
      </c>
      <c r="I48" t="str">
        <f>"4231228"</f>
        <v>4231228</v>
      </c>
      <c r="J48">
        <f>33075</f>
        <v>33075</v>
      </c>
      <c r="K48" t="str">
        <f t="shared" si="13"/>
        <v>個</v>
      </c>
      <c r="L48" t="str">
        <f>"4231228"</f>
        <v>4231228</v>
      </c>
      <c r="M48" t="str">
        <f>""</f>
        <v/>
      </c>
    </row>
    <row r="49" spans="1:13" x14ac:dyDescent="0.15">
      <c r="A49" t="str">
        <f t="shared" si="0"/>
        <v>1851110500</v>
      </c>
      <c r="B49" t="str">
        <f t="shared" si="1"/>
        <v>安佐南・区政調整</v>
      </c>
      <c r="C49" t="str">
        <f>"01ｶ00206"</f>
        <v>01ｶ00206</v>
      </c>
      <c r="D49" t="str">
        <f>"マイクミキサー"</f>
        <v>マイクミキサー</v>
      </c>
      <c r="E49" t="str">
        <f>"ヤマハＬＳ９－１６"</f>
        <v>ヤマハＬＳ９－１６</v>
      </c>
      <c r="F49" t="str">
        <f t="shared" si="2"/>
        <v>００６０</v>
      </c>
      <c r="G49" t="str">
        <f>"4180001860"</f>
        <v>4180001860</v>
      </c>
      <c r="H49" t="str">
        <f t="shared" si="12"/>
        <v>001</v>
      </c>
      <c r="I49" t="str">
        <f>"4190111"</f>
        <v>4190111</v>
      </c>
      <c r="J49">
        <f>528885</f>
        <v>528885</v>
      </c>
      <c r="K49" t="str">
        <f t="shared" si="13"/>
        <v>個</v>
      </c>
      <c r="L49" t="str">
        <f>"4190111"</f>
        <v>4190111</v>
      </c>
      <c r="M49" t="str">
        <f>"4190111"</f>
        <v>4190111</v>
      </c>
    </row>
    <row r="50" spans="1:13" x14ac:dyDescent="0.15">
      <c r="A50" t="str">
        <f t="shared" si="0"/>
        <v>1851110500</v>
      </c>
      <c r="B50" t="str">
        <f t="shared" si="1"/>
        <v>安佐南・区政調整</v>
      </c>
      <c r="C50" t="str">
        <f>"01ｷ00101"</f>
        <v>01ｷ00101</v>
      </c>
      <c r="D50" t="str">
        <f>"金庫"</f>
        <v>金庫</v>
      </c>
      <c r="E50" t="str">
        <f>"クマヒラＪＫ‐ＭＳ３０"</f>
        <v>クマヒラＪＫ‐ＭＳ３０</v>
      </c>
      <c r="F50" t="str">
        <f t="shared" si="2"/>
        <v>００６０</v>
      </c>
      <c r="G50" t="str">
        <f>"3590002216"</f>
        <v>3590002216</v>
      </c>
      <c r="H50" t="str">
        <f t="shared" si="12"/>
        <v>001</v>
      </c>
      <c r="I50" t="str">
        <f>"4100401"</f>
        <v>4100401</v>
      </c>
      <c r="J50">
        <f>126000</f>
        <v>126000</v>
      </c>
      <c r="K50" t="str">
        <f>"台"</f>
        <v>台</v>
      </c>
      <c r="L50" t="str">
        <f>"3591226"</f>
        <v>3591226</v>
      </c>
      <c r="M50" t="str">
        <f>""</f>
        <v/>
      </c>
    </row>
    <row r="51" spans="1:13" x14ac:dyDescent="0.15">
      <c r="A51" t="str">
        <f t="shared" si="0"/>
        <v>1851110500</v>
      </c>
      <c r="B51" t="str">
        <f t="shared" si="1"/>
        <v>安佐南・区政調整</v>
      </c>
      <c r="C51" t="str">
        <f>"01ｷ00501"</f>
        <v>01ｷ00501</v>
      </c>
      <c r="D51" t="str">
        <f>"キャビネット"</f>
        <v>キャビネット</v>
      </c>
      <c r="E51" t="str">
        <f>"ライオンＢ４‐４"</f>
        <v>ライオンＢ４‐４</v>
      </c>
      <c r="F51" t="str">
        <f t="shared" si="2"/>
        <v>００６０</v>
      </c>
      <c r="G51" t="str">
        <f>"3550001260"</f>
        <v>3550001260</v>
      </c>
      <c r="H51" t="str">
        <f t="shared" si="12"/>
        <v>001</v>
      </c>
      <c r="I51" t="str">
        <f>"4100401"</f>
        <v>4100401</v>
      </c>
      <c r="J51">
        <f>20600</f>
        <v>20600</v>
      </c>
      <c r="K51" t="str">
        <f>"個"</f>
        <v>個</v>
      </c>
      <c r="L51" t="str">
        <f>"3550417"</f>
        <v>3550417</v>
      </c>
      <c r="M51" t="str">
        <f>""</f>
        <v/>
      </c>
    </row>
    <row r="52" spans="1:13" x14ac:dyDescent="0.15">
      <c r="A52" t="str">
        <f t="shared" si="0"/>
        <v>1851110500</v>
      </c>
      <c r="B52" t="str">
        <f t="shared" si="1"/>
        <v>安佐南・区政調整</v>
      </c>
      <c r="C52" t="str">
        <f t="shared" ref="C52:C58" si="17">"01ｹ00501"</f>
        <v>01ｹ00501</v>
      </c>
      <c r="D52" t="str">
        <f t="shared" ref="D52:D58" si="18">"掲示板"</f>
        <v>掲示板</v>
      </c>
      <c r="E52" t="str">
        <f t="shared" ref="E52:E58" si="19">"クロス展示パネル"</f>
        <v>クロス展示パネル</v>
      </c>
      <c r="F52" t="str">
        <f t="shared" si="2"/>
        <v>００６０</v>
      </c>
      <c r="G52" t="str">
        <f>"4190004748"</f>
        <v>4190004748</v>
      </c>
      <c r="H52" t="str">
        <f t="shared" si="12"/>
        <v>001</v>
      </c>
      <c r="I52" t="str">
        <f t="shared" ref="I52:I58" si="20">"4190601"</f>
        <v>4190601</v>
      </c>
      <c r="J52">
        <f>56000</f>
        <v>56000</v>
      </c>
      <c r="K52" t="str">
        <f t="shared" ref="K52:K58" si="21">"台"</f>
        <v>台</v>
      </c>
      <c r="L52" t="str">
        <f t="shared" ref="L52:L58" si="22">"4190601"</f>
        <v>4190601</v>
      </c>
      <c r="M52" t="str">
        <f t="shared" ref="M52:M58" si="23">"4190601"</f>
        <v>4190601</v>
      </c>
    </row>
    <row r="53" spans="1:13" x14ac:dyDescent="0.15">
      <c r="A53" t="str">
        <f t="shared" si="0"/>
        <v>1851110500</v>
      </c>
      <c r="B53" t="str">
        <f t="shared" si="1"/>
        <v>安佐南・区政調整</v>
      </c>
      <c r="C53" t="str">
        <f t="shared" si="17"/>
        <v>01ｹ00501</v>
      </c>
      <c r="D53" t="str">
        <f t="shared" si="18"/>
        <v>掲示板</v>
      </c>
      <c r="E53" t="str">
        <f t="shared" si="19"/>
        <v>クロス展示パネル</v>
      </c>
      <c r="F53" t="str">
        <f t="shared" si="2"/>
        <v>００６０</v>
      </c>
      <c r="G53" t="str">
        <f>"4190004749"</f>
        <v>4190004749</v>
      </c>
      <c r="H53" t="str">
        <f t="shared" si="12"/>
        <v>001</v>
      </c>
      <c r="I53" t="str">
        <f t="shared" si="20"/>
        <v>4190601</v>
      </c>
      <c r="J53">
        <f>56000</f>
        <v>56000</v>
      </c>
      <c r="K53" t="str">
        <f t="shared" si="21"/>
        <v>台</v>
      </c>
      <c r="L53" t="str">
        <f t="shared" si="22"/>
        <v>4190601</v>
      </c>
      <c r="M53" t="str">
        <f t="shared" si="23"/>
        <v>4190601</v>
      </c>
    </row>
    <row r="54" spans="1:13" x14ac:dyDescent="0.15">
      <c r="A54" t="str">
        <f t="shared" si="0"/>
        <v>1851110500</v>
      </c>
      <c r="B54" t="str">
        <f t="shared" si="1"/>
        <v>安佐南・区政調整</v>
      </c>
      <c r="C54" t="str">
        <f t="shared" si="17"/>
        <v>01ｹ00501</v>
      </c>
      <c r="D54" t="str">
        <f t="shared" si="18"/>
        <v>掲示板</v>
      </c>
      <c r="E54" t="str">
        <f t="shared" si="19"/>
        <v>クロス展示パネル</v>
      </c>
      <c r="F54" t="str">
        <f t="shared" si="2"/>
        <v>００６０</v>
      </c>
      <c r="G54" t="str">
        <f>"4190004750"</f>
        <v>4190004750</v>
      </c>
      <c r="H54" t="str">
        <f t="shared" si="12"/>
        <v>001</v>
      </c>
      <c r="I54" t="str">
        <f t="shared" si="20"/>
        <v>4190601</v>
      </c>
      <c r="J54">
        <f>56000</f>
        <v>56000</v>
      </c>
      <c r="K54" t="str">
        <f t="shared" si="21"/>
        <v>台</v>
      </c>
      <c r="L54" t="str">
        <f t="shared" si="22"/>
        <v>4190601</v>
      </c>
      <c r="M54" t="str">
        <f t="shared" si="23"/>
        <v>4190601</v>
      </c>
    </row>
    <row r="55" spans="1:13" x14ac:dyDescent="0.15">
      <c r="A55" t="str">
        <f t="shared" si="0"/>
        <v>1851110500</v>
      </c>
      <c r="B55" t="str">
        <f t="shared" si="1"/>
        <v>安佐南・区政調整</v>
      </c>
      <c r="C55" t="str">
        <f t="shared" si="17"/>
        <v>01ｹ00501</v>
      </c>
      <c r="D55" t="str">
        <f t="shared" si="18"/>
        <v>掲示板</v>
      </c>
      <c r="E55" t="str">
        <f t="shared" si="19"/>
        <v>クロス展示パネル</v>
      </c>
      <c r="F55" t="str">
        <f t="shared" si="2"/>
        <v>００６０</v>
      </c>
      <c r="G55" t="str">
        <f>"4190004751"</f>
        <v>4190004751</v>
      </c>
      <c r="H55" t="str">
        <f t="shared" si="12"/>
        <v>001</v>
      </c>
      <c r="I55" t="str">
        <f t="shared" si="20"/>
        <v>4190601</v>
      </c>
      <c r="J55">
        <f>56000</f>
        <v>56000</v>
      </c>
      <c r="K55" t="str">
        <f t="shared" si="21"/>
        <v>台</v>
      </c>
      <c r="L55" t="str">
        <f t="shared" si="22"/>
        <v>4190601</v>
      </c>
      <c r="M55" t="str">
        <f t="shared" si="23"/>
        <v>4190601</v>
      </c>
    </row>
    <row r="56" spans="1:13" x14ac:dyDescent="0.15">
      <c r="A56" t="str">
        <f t="shared" si="0"/>
        <v>1851110500</v>
      </c>
      <c r="B56" t="str">
        <f t="shared" si="1"/>
        <v>安佐南・区政調整</v>
      </c>
      <c r="C56" t="str">
        <f t="shared" si="17"/>
        <v>01ｹ00501</v>
      </c>
      <c r="D56" t="str">
        <f t="shared" si="18"/>
        <v>掲示板</v>
      </c>
      <c r="E56" t="str">
        <f t="shared" si="19"/>
        <v>クロス展示パネル</v>
      </c>
      <c r="F56" t="str">
        <f t="shared" si="2"/>
        <v>００６０</v>
      </c>
      <c r="G56" t="str">
        <f>"4190004752"</f>
        <v>4190004752</v>
      </c>
      <c r="H56" t="str">
        <f t="shared" si="12"/>
        <v>001</v>
      </c>
      <c r="I56" t="str">
        <f t="shared" si="20"/>
        <v>4190601</v>
      </c>
      <c r="J56">
        <f>56000</f>
        <v>56000</v>
      </c>
      <c r="K56" t="str">
        <f t="shared" si="21"/>
        <v>台</v>
      </c>
      <c r="L56" t="str">
        <f t="shared" si="22"/>
        <v>4190601</v>
      </c>
      <c r="M56" t="str">
        <f t="shared" si="23"/>
        <v>4190601</v>
      </c>
    </row>
    <row r="57" spans="1:13" x14ac:dyDescent="0.15">
      <c r="A57" t="str">
        <f t="shared" si="0"/>
        <v>1851110500</v>
      </c>
      <c r="B57" t="str">
        <f t="shared" si="1"/>
        <v>安佐南・区政調整</v>
      </c>
      <c r="C57" t="str">
        <f t="shared" si="17"/>
        <v>01ｹ00501</v>
      </c>
      <c r="D57" t="str">
        <f t="shared" si="18"/>
        <v>掲示板</v>
      </c>
      <c r="E57" t="str">
        <f t="shared" si="19"/>
        <v>クロス展示パネル</v>
      </c>
      <c r="F57" t="str">
        <f t="shared" si="2"/>
        <v>００６０</v>
      </c>
      <c r="G57" t="str">
        <f>"4190004753"</f>
        <v>4190004753</v>
      </c>
      <c r="H57" t="str">
        <f t="shared" si="12"/>
        <v>001</v>
      </c>
      <c r="I57" t="str">
        <f t="shared" si="20"/>
        <v>4190601</v>
      </c>
      <c r="J57">
        <f>56000</f>
        <v>56000</v>
      </c>
      <c r="K57" t="str">
        <f t="shared" si="21"/>
        <v>台</v>
      </c>
      <c r="L57" t="str">
        <f t="shared" si="22"/>
        <v>4190601</v>
      </c>
      <c r="M57" t="str">
        <f t="shared" si="23"/>
        <v>4190601</v>
      </c>
    </row>
    <row r="58" spans="1:13" x14ac:dyDescent="0.15">
      <c r="A58" t="str">
        <f t="shared" si="0"/>
        <v>1851110500</v>
      </c>
      <c r="B58" t="str">
        <f t="shared" si="1"/>
        <v>安佐南・区政調整</v>
      </c>
      <c r="C58" t="str">
        <f t="shared" si="17"/>
        <v>01ｹ00501</v>
      </c>
      <c r="D58" t="str">
        <f t="shared" si="18"/>
        <v>掲示板</v>
      </c>
      <c r="E58" t="str">
        <f t="shared" si="19"/>
        <v>クロス展示パネル</v>
      </c>
      <c r="F58" t="str">
        <f t="shared" si="2"/>
        <v>００６０</v>
      </c>
      <c r="G58" t="str">
        <f>"4190004754"</f>
        <v>4190004754</v>
      </c>
      <c r="H58" t="str">
        <f t="shared" si="12"/>
        <v>001</v>
      </c>
      <c r="I58" t="str">
        <f t="shared" si="20"/>
        <v>4190601</v>
      </c>
      <c r="J58">
        <f>56000</f>
        <v>56000</v>
      </c>
      <c r="K58" t="str">
        <f t="shared" si="21"/>
        <v>台</v>
      </c>
      <c r="L58" t="str">
        <f t="shared" si="22"/>
        <v>4190601</v>
      </c>
      <c r="M58" t="str">
        <f t="shared" si="23"/>
        <v>4190601</v>
      </c>
    </row>
    <row r="59" spans="1:13" x14ac:dyDescent="0.15">
      <c r="A59" t="str">
        <f t="shared" si="0"/>
        <v>1851110500</v>
      </c>
      <c r="B59" t="str">
        <f t="shared" si="1"/>
        <v>安佐南・区政調整</v>
      </c>
      <c r="C59" t="str">
        <f>"01ｼ00101"</f>
        <v>01ｼ00101</v>
      </c>
      <c r="D59" t="str">
        <f>"書架"</f>
        <v>書架</v>
      </c>
      <c r="E59" t="str">
        <f>"コクヨＺＲ‐ＰＳ１０"</f>
        <v>コクヨＺＲ‐ＰＳ１０</v>
      </c>
      <c r="F59" t="str">
        <f t="shared" si="2"/>
        <v>００６０</v>
      </c>
      <c r="G59" t="str">
        <f>"3590002220"</f>
        <v>3590002220</v>
      </c>
      <c r="H59" t="str">
        <f t="shared" ref="H59:H90" si="24">"001"</f>
        <v>001</v>
      </c>
      <c r="I59" t="str">
        <f>"4100401"</f>
        <v>4100401</v>
      </c>
      <c r="J59">
        <f>29200</f>
        <v>29200</v>
      </c>
      <c r="K59" t="str">
        <f>"個"</f>
        <v>個</v>
      </c>
      <c r="L59" t="str">
        <f>"3600108"</f>
        <v>3600108</v>
      </c>
      <c r="M59" t="str">
        <f>""</f>
        <v/>
      </c>
    </row>
    <row r="60" spans="1:13" x14ac:dyDescent="0.15">
      <c r="A60" t="str">
        <f t="shared" si="0"/>
        <v>1851110500</v>
      </c>
      <c r="B60" t="str">
        <f t="shared" si="1"/>
        <v>安佐南・区政調整</v>
      </c>
      <c r="C60" t="str">
        <f>"01ｼ00101"</f>
        <v>01ｼ00101</v>
      </c>
      <c r="D60" t="str">
        <f>"書架"</f>
        <v>書架</v>
      </c>
      <c r="E60" t="str">
        <f>"コクヨＺＲ‐ＰＳ１０"</f>
        <v>コクヨＺＲ‐ＰＳ１０</v>
      </c>
      <c r="F60" t="str">
        <f t="shared" si="2"/>
        <v>００６０</v>
      </c>
      <c r="G60" t="str">
        <f>"3600005636"</f>
        <v>3600005636</v>
      </c>
      <c r="H60" t="str">
        <f t="shared" si="24"/>
        <v>001</v>
      </c>
      <c r="I60" t="str">
        <f>"4100401"</f>
        <v>4100401</v>
      </c>
      <c r="J60">
        <f>26880</f>
        <v>26880</v>
      </c>
      <c r="K60" t="str">
        <f>"個"</f>
        <v>個</v>
      </c>
      <c r="L60" t="str">
        <f>"3610214"</f>
        <v>3610214</v>
      </c>
      <c r="M60" t="str">
        <f>""</f>
        <v/>
      </c>
    </row>
    <row r="61" spans="1:13" x14ac:dyDescent="0.15">
      <c r="A61" t="str">
        <f t="shared" si="0"/>
        <v>1851110500</v>
      </c>
      <c r="B61" t="str">
        <f t="shared" si="1"/>
        <v>安佐南・区政調整</v>
      </c>
      <c r="C61" t="str">
        <f>"01ｼ00103"</f>
        <v>01ｼ00103</v>
      </c>
      <c r="D61" t="str">
        <f>"パンフレットスタンド"</f>
        <v>パンフレットスタンド</v>
      </c>
      <c r="E61" t="str">
        <f>"ジョインテックスＲＰ－Ｓ３１０Ｃ"</f>
        <v>ジョインテックスＲＰ－Ｓ３１０Ｃ</v>
      </c>
      <c r="F61" t="str">
        <f t="shared" si="2"/>
        <v>００６０</v>
      </c>
      <c r="G61" t="str">
        <f>"4180001861"</f>
        <v>4180001861</v>
      </c>
      <c r="H61" t="str">
        <f t="shared" si="24"/>
        <v>001</v>
      </c>
      <c r="I61" t="str">
        <f>"4190329"</f>
        <v>4190329</v>
      </c>
      <c r="J61">
        <f>39375</f>
        <v>39375</v>
      </c>
      <c r="K61" t="str">
        <f>"個"</f>
        <v>個</v>
      </c>
      <c r="L61" t="str">
        <f>"4190329"</f>
        <v>4190329</v>
      </c>
      <c r="M61" t="str">
        <f>"4190329"</f>
        <v>4190329</v>
      </c>
    </row>
    <row r="62" spans="1:13" x14ac:dyDescent="0.15">
      <c r="A62" t="str">
        <f t="shared" si="0"/>
        <v>1851110500</v>
      </c>
      <c r="B62" t="str">
        <f t="shared" si="1"/>
        <v>安佐南・区政調整</v>
      </c>
      <c r="C62" t="str">
        <f>"01ｾ00101"</f>
        <v>01ｾ00101</v>
      </c>
      <c r="D62" t="str">
        <f>"穿孔器"</f>
        <v>穿孔器</v>
      </c>
      <c r="E62" t="str">
        <f>"リヒト２００１‐Ａ"</f>
        <v>リヒト２００１‐Ａ</v>
      </c>
      <c r="F62" t="str">
        <f t="shared" si="2"/>
        <v>００６０</v>
      </c>
      <c r="G62" t="str">
        <f>"3590002221"</f>
        <v>3590002221</v>
      </c>
      <c r="H62" t="str">
        <f t="shared" si="24"/>
        <v>001</v>
      </c>
      <c r="I62" t="str">
        <f>"4100401"</f>
        <v>4100401</v>
      </c>
      <c r="J62">
        <f>29230</f>
        <v>29230</v>
      </c>
      <c r="K62" t="str">
        <f>"個"</f>
        <v>個</v>
      </c>
      <c r="L62" t="str">
        <f>"3600107"</f>
        <v>3600107</v>
      </c>
      <c r="M62" t="str">
        <f>""</f>
        <v/>
      </c>
    </row>
    <row r="63" spans="1:13" x14ac:dyDescent="0.15">
      <c r="A63" t="str">
        <f t="shared" si="0"/>
        <v>1851110500</v>
      </c>
      <c r="B63" t="str">
        <f t="shared" si="1"/>
        <v>安佐南・区政調整</v>
      </c>
      <c r="C63" t="str">
        <f>"01ﾀ00101"</f>
        <v>01ﾀ00101</v>
      </c>
      <c r="D63" t="str">
        <f>"棚"</f>
        <v>棚</v>
      </c>
      <c r="E63" t="str">
        <f>"アルモア　Ｄ５５０　１５Ｕ"</f>
        <v>アルモア　Ｄ５５０　１５Ｕ</v>
      </c>
      <c r="F63" t="str">
        <f t="shared" si="2"/>
        <v>００６０</v>
      </c>
      <c r="G63" t="str">
        <f>"4200003755"</f>
        <v>4200003755</v>
      </c>
      <c r="H63" t="str">
        <f t="shared" si="24"/>
        <v>001</v>
      </c>
      <c r="I63" t="str">
        <f>"4200604"</f>
        <v>4200604</v>
      </c>
      <c r="J63">
        <f>90300</f>
        <v>90300</v>
      </c>
      <c r="K63" t="str">
        <f>"個"</f>
        <v>個</v>
      </c>
      <c r="L63" t="str">
        <f>"4200604"</f>
        <v>4200604</v>
      </c>
      <c r="M63" t="str">
        <f>""</f>
        <v/>
      </c>
    </row>
    <row r="64" spans="1:13" x14ac:dyDescent="0.15">
      <c r="A64" t="str">
        <f t="shared" si="0"/>
        <v>1851110500</v>
      </c>
      <c r="B64" t="str">
        <f t="shared" si="1"/>
        <v>安佐南・区政調整</v>
      </c>
      <c r="C64" t="str">
        <f t="shared" ref="C64:C104" si="25">"01ﾀ00601"</f>
        <v>01ﾀ00601</v>
      </c>
      <c r="D64" t="str">
        <f t="shared" ref="D64:D104" si="26">"台"</f>
        <v>台</v>
      </c>
      <c r="E64" t="str">
        <f>"ＴＯＴＯ　ベビーシート縦型"</f>
        <v>ＴＯＴＯ　ベビーシート縦型</v>
      </c>
      <c r="F64" t="str">
        <f t="shared" si="2"/>
        <v>００６０</v>
      </c>
      <c r="G64" t="str">
        <f>"4110002886"</f>
        <v>4110002886</v>
      </c>
      <c r="H64" t="str">
        <f t="shared" si="24"/>
        <v>001</v>
      </c>
      <c r="I64" t="str">
        <f>"4120331"</f>
        <v>4120331</v>
      </c>
      <c r="J64">
        <f>214725</f>
        <v>214725</v>
      </c>
      <c r="K64" t="str">
        <f t="shared" ref="K64:K104" si="27">"台"</f>
        <v>台</v>
      </c>
      <c r="L64" t="str">
        <f>"4120331"</f>
        <v>4120331</v>
      </c>
      <c r="M64" t="str">
        <f>"4120331"</f>
        <v>4120331</v>
      </c>
    </row>
    <row r="65" spans="1:13" x14ac:dyDescent="0.15">
      <c r="A65" t="str">
        <f t="shared" si="0"/>
        <v>1851110500</v>
      </c>
      <c r="B65" t="str">
        <f t="shared" si="1"/>
        <v>安佐南・区政調整</v>
      </c>
      <c r="C65" t="str">
        <f t="shared" si="25"/>
        <v>01ﾀ00601</v>
      </c>
      <c r="D65" t="str">
        <f t="shared" si="26"/>
        <v>台</v>
      </c>
      <c r="E65" t="str">
        <f>"ＴＯＴＯ　ベビーシート縦型"</f>
        <v>ＴＯＴＯ　ベビーシート縦型</v>
      </c>
      <c r="F65" t="str">
        <f t="shared" si="2"/>
        <v>００６０</v>
      </c>
      <c r="G65" t="str">
        <f>"4110002887"</f>
        <v>4110002887</v>
      </c>
      <c r="H65" t="str">
        <f t="shared" si="24"/>
        <v>001</v>
      </c>
      <c r="I65" t="str">
        <f>"4120331"</f>
        <v>4120331</v>
      </c>
      <c r="J65">
        <f>214725</f>
        <v>214725</v>
      </c>
      <c r="K65" t="str">
        <f t="shared" si="27"/>
        <v>台</v>
      </c>
      <c r="L65" t="str">
        <f>"4120331"</f>
        <v>4120331</v>
      </c>
      <c r="M65" t="str">
        <f>"4120331"</f>
        <v>4120331</v>
      </c>
    </row>
    <row r="66" spans="1:13" x14ac:dyDescent="0.15">
      <c r="A66" t="str">
        <f t="shared" ref="A66:A129" si="28">"1851110500"</f>
        <v>1851110500</v>
      </c>
      <c r="B66" t="str">
        <f t="shared" ref="B66:B129" si="29">"安佐南・区政調整"</f>
        <v>安佐南・区政調整</v>
      </c>
      <c r="C66" t="str">
        <f t="shared" si="25"/>
        <v>01ﾀ00601</v>
      </c>
      <c r="D66" t="str">
        <f t="shared" si="26"/>
        <v>台</v>
      </c>
      <c r="E66" t="str">
        <f>"ＴＯＴＯ　ベビーシート縦型"</f>
        <v>ＴＯＴＯ　ベビーシート縦型</v>
      </c>
      <c r="F66" t="str">
        <f t="shared" ref="F66:F129" si="30">"００６０"</f>
        <v>００６０</v>
      </c>
      <c r="G66" t="str">
        <f>"4110002888"</f>
        <v>4110002888</v>
      </c>
      <c r="H66" t="str">
        <f t="shared" si="24"/>
        <v>001</v>
      </c>
      <c r="I66" t="str">
        <f>"4120331"</f>
        <v>4120331</v>
      </c>
      <c r="J66">
        <f>214725</f>
        <v>214725</v>
      </c>
      <c r="K66" t="str">
        <f t="shared" si="27"/>
        <v>台</v>
      </c>
      <c r="L66" t="str">
        <f>"4120331"</f>
        <v>4120331</v>
      </c>
      <c r="M66" t="str">
        <f>"4120331"</f>
        <v>4120331</v>
      </c>
    </row>
    <row r="67" spans="1:13" x14ac:dyDescent="0.15">
      <c r="A67" t="str">
        <f t="shared" si="28"/>
        <v>1851110500</v>
      </c>
      <c r="B67" t="str">
        <f t="shared" si="29"/>
        <v>安佐南・区政調整</v>
      </c>
      <c r="C67" t="str">
        <f t="shared" si="25"/>
        <v>01ﾀ00601</v>
      </c>
      <c r="D67" t="str">
        <f t="shared" si="26"/>
        <v>台</v>
      </c>
      <c r="E67" t="str">
        <f>"アビーロード　ベビーシート横型"</f>
        <v>アビーロード　ベビーシート横型</v>
      </c>
      <c r="F67" t="str">
        <f t="shared" si="30"/>
        <v>００６０</v>
      </c>
      <c r="G67" t="str">
        <f>"4110002889"</f>
        <v>4110002889</v>
      </c>
      <c r="H67" t="str">
        <f t="shared" si="24"/>
        <v>001</v>
      </c>
      <c r="I67" t="str">
        <f>"4120331"</f>
        <v>4120331</v>
      </c>
      <c r="J67">
        <f>140910</f>
        <v>140910</v>
      </c>
      <c r="K67" t="str">
        <f t="shared" si="27"/>
        <v>台</v>
      </c>
      <c r="L67" t="str">
        <f>"4120331"</f>
        <v>4120331</v>
      </c>
      <c r="M67" t="str">
        <f>"4120331"</f>
        <v>4120331</v>
      </c>
    </row>
    <row r="68" spans="1:13" x14ac:dyDescent="0.15">
      <c r="A68" t="str">
        <f t="shared" si="28"/>
        <v>1851110500</v>
      </c>
      <c r="B68" t="str">
        <f t="shared" si="29"/>
        <v>安佐南・区政調整</v>
      </c>
      <c r="C68" t="str">
        <f t="shared" si="25"/>
        <v>01ﾀ00601</v>
      </c>
      <c r="D68" t="str">
        <f t="shared" si="26"/>
        <v>台</v>
      </c>
      <c r="E68" t="str">
        <f>"アビーロード　ベビーシート横型"</f>
        <v>アビーロード　ベビーシート横型</v>
      </c>
      <c r="F68" t="str">
        <f t="shared" si="30"/>
        <v>００６０</v>
      </c>
      <c r="G68" t="str">
        <f>"4110002890"</f>
        <v>4110002890</v>
      </c>
      <c r="H68" t="str">
        <f t="shared" si="24"/>
        <v>001</v>
      </c>
      <c r="I68" t="str">
        <f>"4120331"</f>
        <v>4120331</v>
      </c>
      <c r="J68">
        <f>140910</f>
        <v>140910</v>
      </c>
      <c r="K68" t="str">
        <f t="shared" si="27"/>
        <v>台</v>
      </c>
      <c r="L68" t="str">
        <f>"4120331"</f>
        <v>4120331</v>
      </c>
      <c r="M68" t="str">
        <f>"4120331"</f>
        <v>4120331</v>
      </c>
    </row>
    <row r="69" spans="1:13" x14ac:dyDescent="0.15">
      <c r="A69" t="str">
        <f t="shared" si="28"/>
        <v>1851110500</v>
      </c>
      <c r="B69" t="str">
        <f t="shared" si="29"/>
        <v>安佐南・区政調整</v>
      </c>
      <c r="C69" t="str">
        <f t="shared" si="25"/>
        <v>01ﾀ00601</v>
      </c>
      <c r="D69" t="str">
        <f t="shared" si="26"/>
        <v>台</v>
      </c>
      <c r="E69" t="str">
        <f t="shared" ref="E69:E83" si="31">"平台３尺×６尺"</f>
        <v>平台３尺×６尺</v>
      </c>
      <c r="F69" t="str">
        <f t="shared" si="30"/>
        <v>００６０</v>
      </c>
      <c r="G69" t="str">
        <f>"4200003757"</f>
        <v>4200003757</v>
      </c>
      <c r="H69" t="str">
        <f t="shared" si="24"/>
        <v>001</v>
      </c>
      <c r="I69" t="str">
        <f t="shared" ref="I69:I104" si="32">"4210131"</f>
        <v>4210131</v>
      </c>
      <c r="J69">
        <f>23100</f>
        <v>23100</v>
      </c>
      <c r="K69" t="str">
        <f t="shared" si="27"/>
        <v>台</v>
      </c>
      <c r="L69" t="str">
        <f t="shared" ref="L69:L104" si="33">"4210131"</f>
        <v>4210131</v>
      </c>
      <c r="M69" t="str">
        <f>""</f>
        <v/>
      </c>
    </row>
    <row r="70" spans="1:13" x14ac:dyDescent="0.15">
      <c r="A70" t="str">
        <f t="shared" si="28"/>
        <v>1851110500</v>
      </c>
      <c r="B70" t="str">
        <f t="shared" si="29"/>
        <v>安佐南・区政調整</v>
      </c>
      <c r="C70" t="str">
        <f t="shared" si="25"/>
        <v>01ﾀ00601</v>
      </c>
      <c r="D70" t="str">
        <f t="shared" si="26"/>
        <v>台</v>
      </c>
      <c r="E70" t="str">
        <f t="shared" si="31"/>
        <v>平台３尺×６尺</v>
      </c>
      <c r="F70" t="str">
        <f t="shared" si="30"/>
        <v>００６０</v>
      </c>
      <c r="G70" t="str">
        <f>"4200003758"</f>
        <v>4200003758</v>
      </c>
      <c r="H70" t="str">
        <f t="shared" si="24"/>
        <v>001</v>
      </c>
      <c r="I70" t="str">
        <f t="shared" si="32"/>
        <v>4210131</v>
      </c>
      <c r="J70">
        <f>23100</f>
        <v>23100</v>
      </c>
      <c r="K70" t="str">
        <f t="shared" si="27"/>
        <v>台</v>
      </c>
      <c r="L70" t="str">
        <f t="shared" si="33"/>
        <v>4210131</v>
      </c>
      <c r="M70" t="str">
        <f>""</f>
        <v/>
      </c>
    </row>
    <row r="71" spans="1:13" x14ac:dyDescent="0.15">
      <c r="A71" t="str">
        <f t="shared" si="28"/>
        <v>1851110500</v>
      </c>
      <c r="B71" t="str">
        <f t="shared" si="29"/>
        <v>安佐南・区政調整</v>
      </c>
      <c r="C71" t="str">
        <f t="shared" si="25"/>
        <v>01ﾀ00601</v>
      </c>
      <c r="D71" t="str">
        <f t="shared" si="26"/>
        <v>台</v>
      </c>
      <c r="E71" t="str">
        <f t="shared" si="31"/>
        <v>平台３尺×６尺</v>
      </c>
      <c r="F71" t="str">
        <f t="shared" si="30"/>
        <v>００６０</v>
      </c>
      <c r="G71" t="str">
        <f>"4200003759"</f>
        <v>4200003759</v>
      </c>
      <c r="H71" t="str">
        <f t="shared" si="24"/>
        <v>001</v>
      </c>
      <c r="I71" t="str">
        <f t="shared" si="32"/>
        <v>4210131</v>
      </c>
      <c r="J71">
        <f>23100</f>
        <v>23100</v>
      </c>
      <c r="K71" t="str">
        <f t="shared" si="27"/>
        <v>台</v>
      </c>
      <c r="L71" t="str">
        <f t="shared" si="33"/>
        <v>4210131</v>
      </c>
      <c r="M71" t="str">
        <f>""</f>
        <v/>
      </c>
    </row>
    <row r="72" spans="1:13" x14ac:dyDescent="0.15">
      <c r="A72" t="str">
        <f t="shared" si="28"/>
        <v>1851110500</v>
      </c>
      <c r="B72" t="str">
        <f t="shared" si="29"/>
        <v>安佐南・区政調整</v>
      </c>
      <c r="C72" t="str">
        <f t="shared" si="25"/>
        <v>01ﾀ00601</v>
      </c>
      <c r="D72" t="str">
        <f t="shared" si="26"/>
        <v>台</v>
      </c>
      <c r="E72" t="str">
        <f t="shared" si="31"/>
        <v>平台３尺×６尺</v>
      </c>
      <c r="F72" t="str">
        <f t="shared" si="30"/>
        <v>００６０</v>
      </c>
      <c r="G72" t="str">
        <f>"4200003760"</f>
        <v>4200003760</v>
      </c>
      <c r="H72" t="str">
        <f t="shared" si="24"/>
        <v>001</v>
      </c>
      <c r="I72" t="str">
        <f t="shared" si="32"/>
        <v>4210131</v>
      </c>
      <c r="J72">
        <f>23100</f>
        <v>23100</v>
      </c>
      <c r="K72" t="str">
        <f t="shared" si="27"/>
        <v>台</v>
      </c>
      <c r="L72" t="str">
        <f t="shared" si="33"/>
        <v>4210131</v>
      </c>
      <c r="M72" t="str">
        <f>""</f>
        <v/>
      </c>
    </row>
    <row r="73" spans="1:13" x14ac:dyDescent="0.15">
      <c r="A73" t="str">
        <f t="shared" si="28"/>
        <v>1851110500</v>
      </c>
      <c r="B73" t="str">
        <f t="shared" si="29"/>
        <v>安佐南・区政調整</v>
      </c>
      <c r="C73" t="str">
        <f t="shared" si="25"/>
        <v>01ﾀ00601</v>
      </c>
      <c r="D73" t="str">
        <f t="shared" si="26"/>
        <v>台</v>
      </c>
      <c r="E73" t="str">
        <f t="shared" si="31"/>
        <v>平台３尺×６尺</v>
      </c>
      <c r="F73" t="str">
        <f t="shared" si="30"/>
        <v>００６０</v>
      </c>
      <c r="G73" t="str">
        <f>"4200003761"</f>
        <v>4200003761</v>
      </c>
      <c r="H73" t="str">
        <f t="shared" si="24"/>
        <v>001</v>
      </c>
      <c r="I73" t="str">
        <f t="shared" si="32"/>
        <v>4210131</v>
      </c>
      <c r="J73">
        <f>23100</f>
        <v>23100</v>
      </c>
      <c r="K73" t="str">
        <f t="shared" si="27"/>
        <v>台</v>
      </c>
      <c r="L73" t="str">
        <f t="shared" si="33"/>
        <v>4210131</v>
      </c>
      <c r="M73" t="str">
        <f>""</f>
        <v/>
      </c>
    </row>
    <row r="74" spans="1:13" x14ac:dyDescent="0.15">
      <c r="A74" t="str">
        <f t="shared" si="28"/>
        <v>1851110500</v>
      </c>
      <c r="B74" t="str">
        <f t="shared" si="29"/>
        <v>安佐南・区政調整</v>
      </c>
      <c r="C74" t="str">
        <f t="shared" si="25"/>
        <v>01ﾀ00601</v>
      </c>
      <c r="D74" t="str">
        <f t="shared" si="26"/>
        <v>台</v>
      </c>
      <c r="E74" t="str">
        <f t="shared" si="31"/>
        <v>平台３尺×６尺</v>
      </c>
      <c r="F74" t="str">
        <f t="shared" si="30"/>
        <v>００６０</v>
      </c>
      <c r="G74" t="str">
        <f>"4200003762"</f>
        <v>4200003762</v>
      </c>
      <c r="H74" t="str">
        <f t="shared" si="24"/>
        <v>001</v>
      </c>
      <c r="I74" t="str">
        <f t="shared" si="32"/>
        <v>4210131</v>
      </c>
      <c r="J74">
        <f>23100</f>
        <v>23100</v>
      </c>
      <c r="K74" t="str">
        <f t="shared" si="27"/>
        <v>台</v>
      </c>
      <c r="L74" t="str">
        <f t="shared" si="33"/>
        <v>4210131</v>
      </c>
      <c r="M74" t="str">
        <f>""</f>
        <v/>
      </c>
    </row>
    <row r="75" spans="1:13" x14ac:dyDescent="0.15">
      <c r="A75" t="str">
        <f t="shared" si="28"/>
        <v>1851110500</v>
      </c>
      <c r="B75" t="str">
        <f t="shared" si="29"/>
        <v>安佐南・区政調整</v>
      </c>
      <c r="C75" t="str">
        <f t="shared" si="25"/>
        <v>01ﾀ00601</v>
      </c>
      <c r="D75" t="str">
        <f t="shared" si="26"/>
        <v>台</v>
      </c>
      <c r="E75" t="str">
        <f t="shared" si="31"/>
        <v>平台３尺×６尺</v>
      </c>
      <c r="F75" t="str">
        <f t="shared" si="30"/>
        <v>００６０</v>
      </c>
      <c r="G75" t="str">
        <f>"4200003763"</f>
        <v>4200003763</v>
      </c>
      <c r="H75" t="str">
        <f t="shared" si="24"/>
        <v>001</v>
      </c>
      <c r="I75" t="str">
        <f t="shared" si="32"/>
        <v>4210131</v>
      </c>
      <c r="J75">
        <f>23100</f>
        <v>23100</v>
      </c>
      <c r="K75" t="str">
        <f t="shared" si="27"/>
        <v>台</v>
      </c>
      <c r="L75" t="str">
        <f t="shared" si="33"/>
        <v>4210131</v>
      </c>
      <c r="M75" t="str">
        <f>""</f>
        <v/>
      </c>
    </row>
    <row r="76" spans="1:13" x14ac:dyDescent="0.15">
      <c r="A76" t="str">
        <f t="shared" si="28"/>
        <v>1851110500</v>
      </c>
      <c r="B76" t="str">
        <f t="shared" si="29"/>
        <v>安佐南・区政調整</v>
      </c>
      <c r="C76" t="str">
        <f t="shared" si="25"/>
        <v>01ﾀ00601</v>
      </c>
      <c r="D76" t="str">
        <f t="shared" si="26"/>
        <v>台</v>
      </c>
      <c r="E76" t="str">
        <f t="shared" si="31"/>
        <v>平台３尺×６尺</v>
      </c>
      <c r="F76" t="str">
        <f t="shared" si="30"/>
        <v>００６０</v>
      </c>
      <c r="G76" t="str">
        <f>"4200003764"</f>
        <v>4200003764</v>
      </c>
      <c r="H76" t="str">
        <f t="shared" si="24"/>
        <v>001</v>
      </c>
      <c r="I76" t="str">
        <f t="shared" si="32"/>
        <v>4210131</v>
      </c>
      <c r="J76">
        <f>23100</f>
        <v>23100</v>
      </c>
      <c r="K76" t="str">
        <f t="shared" si="27"/>
        <v>台</v>
      </c>
      <c r="L76" t="str">
        <f t="shared" si="33"/>
        <v>4210131</v>
      </c>
      <c r="M76" t="str">
        <f>""</f>
        <v/>
      </c>
    </row>
    <row r="77" spans="1:13" x14ac:dyDescent="0.15">
      <c r="A77" t="str">
        <f t="shared" si="28"/>
        <v>1851110500</v>
      </c>
      <c r="B77" t="str">
        <f t="shared" si="29"/>
        <v>安佐南・区政調整</v>
      </c>
      <c r="C77" t="str">
        <f t="shared" si="25"/>
        <v>01ﾀ00601</v>
      </c>
      <c r="D77" t="str">
        <f t="shared" si="26"/>
        <v>台</v>
      </c>
      <c r="E77" t="str">
        <f t="shared" si="31"/>
        <v>平台３尺×６尺</v>
      </c>
      <c r="F77" t="str">
        <f t="shared" si="30"/>
        <v>００６０</v>
      </c>
      <c r="G77" t="str">
        <f>"4200003765"</f>
        <v>4200003765</v>
      </c>
      <c r="H77" t="str">
        <f t="shared" si="24"/>
        <v>001</v>
      </c>
      <c r="I77" t="str">
        <f t="shared" si="32"/>
        <v>4210131</v>
      </c>
      <c r="J77">
        <f>23100</f>
        <v>23100</v>
      </c>
      <c r="K77" t="str">
        <f t="shared" si="27"/>
        <v>台</v>
      </c>
      <c r="L77" t="str">
        <f t="shared" si="33"/>
        <v>4210131</v>
      </c>
      <c r="M77" t="str">
        <f>""</f>
        <v/>
      </c>
    </row>
    <row r="78" spans="1:13" x14ac:dyDescent="0.15">
      <c r="A78" t="str">
        <f t="shared" si="28"/>
        <v>1851110500</v>
      </c>
      <c r="B78" t="str">
        <f t="shared" si="29"/>
        <v>安佐南・区政調整</v>
      </c>
      <c r="C78" t="str">
        <f t="shared" si="25"/>
        <v>01ﾀ00601</v>
      </c>
      <c r="D78" t="str">
        <f t="shared" si="26"/>
        <v>台</v>
      </c>
      <c r="E78" t="str">
        <f t="shared" si="31"/>
        <v>平台３尺×６尺</v>
      </c>
      <c r="F78" t="str">
        <f t="shared" si="30"/>
        <v>００６０</v>
      </c>
      <c r="G78" t="str">
        <f>"4200003766"</f>
        <v>4200003766</v>
      </c>
      <c r="H78" t="str">
        <f t="shared" si="24"/>
        <v>001</v>
      </c>
      <c r="I78" t="str">
        <f t="shared" si="32"/>
        <v>4210131</v>
      </c>
      <c r="J78">
        <f>23100</f>
        <v>23100</v>
      </c>
      <c r="K78" t="str">
        <f t="shared" si="27"/>
        <v>台</v>
      </c>
      <c r="L78" t="str">
        <f t="shared" si="33"/>
        <v>4210131</v>
      </c>
      <c r="M78" t="str">
        <f>""</f>
        <v/>
      </c>
    </row>
    <row r="79" spans="1:13" x14ac:dyDescent="0.15">
      <c r="A79" t="str">
        <f t="shared" si="28"/>
        <v>1851110500</v>
      </c>
      <c r="B79" t="str">
        <f t="shared" si="29"/>
        <v>安佐南・区政調整</v>
      </c>
      <c r="C79" t="str">
        <f t="shared" si="25"/>
        <v>01ﾀ00601</v>
      </c>
      <c r="D79" t="str">
        <f t="shared" si="26"/>
        <v>台</v>
      </c>
      <c r="E79" t="str">
        <f t="shared" si="31"/>
        <v>平台３尺×６尺</v>
      </c>
      <c r="F79" t="str">
        <f t="shared" si="30"/>
        <v>００６０</v>
      </c>
      <c r="G79" t="str">
        <f>"4200003767"</f>
        <v>4200003767</v>
      </c>
      <c r="H79" t="str">
        <f t="shared" si="24"/>
        <v>001</v>
      </c>
      <c r="I79" t="str">
        <f t="shared" si="32"/>
        <v>4210131</v>
      </c>
      <c r="J79">
        <f>23100</f>
        <v>23100</v>
      </c>
      <c r="K79" t="str">
        <f t="shared" si="27"/>
        <v>台</v>
      </c>
      <c r="L79" t="str">
        <f t="shared" si="33"/>
        <v>4210131</v>
      </c>
      <c r="M79" t="str">
        <f>""</f>
        <v/>
      </c>
    </row>
    <row r="80" spans="1:13" x14ac:dyDescent="0.15">
      <c r="A80" t="str">
        <f t="shared" si="28"/>
        <v>1851110500</v>
      </c>
      <c r="B80" t="str">
        <f t="shared" si="29"/>
        <v>安佐南・区政調整</v>
      </c>
      <c r="C80" t="str">
        <f t="shared" si="25"/>
        <v>01ﾀ00601</v>
      </c>
      <c r="D80" t="str">
        <f t="shared" si="26"/>
        <v>台</v>
      </c>
      <c r="E80" t="str">
        <f t="shared" si="31"/>
        <v>平台３尺×６尺</v>
      </c>
      <c r="F80" t="str">
        <f t="shared" si="30"/>
        <v>００６０</v>
      </c>
      <c r="G80" t="str">
        <f>"4200003768"</f>
        <v>4200003768</v>
      </c>
      <c r="H80" t="str">
        <f t="shared" si="24"/>
        <v>001</v>
      </c>
      <c r="I80" t="str">
        <f t="shared" si="32"/>
        <v>4210131</v>
      </c>
      <c r="J80">
        <f>23100</f>
        <v>23100</v>
      </c>
      <c r="K80" t="str">
        <f t="shared" si="27"/>
        <v>台</v>
      </c>
      <c r="L80" t="str">
        <f t="shared" si="33"/>
        <v>4210131</v>
      </c>
      <c r="M80" t="str">
        <f>""</f>
        <v/>
      </c>
    </row>
    <row r="81" spans="1:13" x14ac:dyDescent="0.15">
      <c r="A81" t="str">
        <f t="shared" si="28"/>
        <v>1851110500</v>
      </c>
      <c r="B81" t="str">
        <f t="shared" si="29"/>
        <v>安佐南・区政調整</v>
      </c>
      <c r="C81" t="str">
        <f t="shared" si="25"/>
        <v>01ﾀ00601</v>
      </c>
      <c r="D81" t="str">
        <f t="shared" si="26"/>
        <v>台</v>
      </c>
      <c r="E81" t="str">
        <f t="shared" si="31"/>
        <v>平台３尺×６尺</v>
      </c>
      <c r="F81" t="str">
        <f t="shared" si="30"/>
        <v>００６０</v>
      </c>
      <c r="G81" t="str">
        <f>"4200003769"</f>
        <v>4200003769</v>
      </c>
      <c r="H81" t="str">
        <f t="shared" si="24"/>
        <v>001</v>
      </c>
      <c r="I81" t="str">
        <f t="shared" si="32"/>
        <v>4210131</v>
      </c>
      <c r="J81">
        <f>23100</f>
        <v>23100</v>
      </c>
      <c r="K81" t="str">
        <f t="shared" si="27"/>
        <v>台</v>
      </c>
      <c r="L81" t="str">
        <f t="shared" si="33"/>
        <v>4210131</v>
      </c>
      <c r="M81" t="str">
        <f>""</f>
        <v/>
      </c>
    </row>
    <row r="82" spans="1:13" x14ac:dyDescent="0.15">
      <c r="A82" t="str">
        <f t="shared" si="28"/>
        <v>1851110500</v>
      </c>
      <c r="B82" t="str">
        <f t="shared" si="29"/>
        <v>安佐南・区政調整</v>
      </c>
      <c r="C82" t="str">
        <f t="shared" si="25"/>
        <v>01ﾀ00601</v>
      </c>
      <c r="D82" t="str">
        <f t="shared" si="26"/>
        <v>台</v>
      </c>
      <c r="E82" t="str">
        <f t="shared" si="31"/>
        <v>平台３尺×６尺</v>
      </c>
      <c r="F82" t="str">
        <f t="shared" si="30"/>
        <v>００６０</v>
      </c>
      <c r="G82" t="str">
        <f>"4200003770"</f>
        <v>4200003770</v>
      </c>
      <c r="H82" t="str">
        <f t="shared" si="24"/>
        <v>001</v>
      </c>
      <c r="I82" t="str">
        <f t="shared" si="32"/>
        <v>4210131</v>
      </c>
      <c r="J82">
        <f>23100</f>
        <v>23100</v>
      </c>
      <c r="K82" t="str">
        <f t="shared" si="27"/>
        <v>台</v>
      </c>
      <c r="L82" t="str">
        <f t="shared" si="33"/>
        <v>4210131</v>
      </c>
      <c r="M82" t="str">
        <f>""</f>
        <v/>
      </c>
    </row>
    <row r="83" spans="1:13" x14ac:dyDescent="0.15">
      <c r="A83" t="str">
        <f t="shared" si="28"/>
        <v>1851110500</v>
      </c>
      <c r="B83" t="str">
        <f t="shared" si="29"/>
        <v>安佐南・区政調整</v>
      </c>
      <c r="C83" t="str">
        <f t="shared" si="25"/>
        <v>01ﾀ00601</v>
      </c>
      <c r="D83" t="str">
        <f t="shared" si="26"/>
        <v>台</v>
      </c>
      <c r="E83" t="str">
        <f t="shared" si="31"/>
        <v>平台３尺×６尺</v>
      </c>
      <c r="F83" t="str">
        <f t="shared" si="30"/>
        <v>００６０</v>
      </c>
      <c r="G83" t="str">
        <f>"4200003771"</f>
        <v>4200003771</v>
      </c>
      <c r="H83" t="str">
        <f t="shared" si="24"/>
        <v>001</v>
      </c>
      <c r="I83" t="str">
        <f t="shared" si="32"/>
        <v>4210131</v>
      </c>
      <c r="J83">
        <f>23100</f>
        <v>23100</v>
      </c>
      <c r="K83" t="str">
        <f t="shared" si="27"/>
        <v>台</v>
      </c>
      <c r="L83" t="str">
        <f t="shared" si="33"/>
        <v>4210131</v>
      </c>
      <c r="M83" t="str">
        <f>""</f>
        <v/>
      </c>
    </row>
    <row r="84" spans="1:13" x14ac:dyDescent="0.15">
      <c r="A84" t="str">
        <f t="shared" si="28"/>
        <v>1851110500</v>
      </c>
      <c r="B84" t="str">
        <f t="shared" si="29"/>
        <v>安佐南・区政調整</v>
      </c>
      <c r="C84" t="str">
        <f t="shared" si="25"/>
        <v>01ﾀ00601</v>
      </c>
      <c r="D84" t="str">
        <f t="shared" si="26"/>
        <v>台</v>
      </c>
      <c r="E84" t="str">
        <f t="shared" ref="E84:E98" si="34">"平台４尺×６尺"</f>
        <v>平台４尺×６尺</v>
      </c>
      <c r="F84" t="str">
        <f t="shared" si="30"/>
        <v>００６０</v>
      </c>
      <c r="G84" t="str">
        <f>"4200003772"</f>
        <v>4200003772</v>
      </c>
      <c r="H84" t="str">
        <f t="shared" si="24"/>
        <v>001</v>
      </c>
      <c r="I84" t="str">
        <f t="shared" si="32"/>
        <v>4210131</v>
      </c>
      <c r="J84">
        <f>33600</f>
        <v>33600</v>
      </c>
      <c r="K84" t="str">
        <f t="shared" si="27"/>
        <v>台</v>
      </c>
      <c r="L84" t="str">
        <f t="shared" si="33"/>
        <v>4210131</v>
      </c>
      <c r="M84" t="str">
        <f>""</f>
        <v/>
      </c>
    </row>
    <row r="85" spans="1:13" x14ac:dyDescent="0.15">
      <c r="A85" t="str">
        <f t="shared" si="28"/>
        <v>1851110500</v>
      </c>
      <c r="B85" t="str">
        <f t="shared" si="29"/>
        <v>安佐南・区政調整</v>
      </c>
      <c r="C85" t="str">
        <f t="shared" si="25"/>
        <v>01ﾀ00601</v>
      </c>
      <c r="D85" t="str">
        <f t="shared" si="26"/>
        <v>台</v>
      </c>
      <c r="E85" t="str">
        <f t="shared" si="34"/>
        <v>平台４尺×６尺</v>
      </c>
      <c r="F85" t="str">
        <f t="shared" si="30"/>
        <v>００６０</v>
      </c>
      <c r="G85" t="str">
        <f>"4200003773"</f>
        <v>4200003773</v>
      </c>
      <c r="H85" t="str">
        <f t="shared" si="24"/>
        <v>001</v>
      </c>
      <c r="I85" t="str">
        <f t="shared" si="32"/>
        <v>4210131</v>
      </c>
      <c r="J85">
        <f>33600</f>
        <v>33600</v>
      </c>
      <c r="K85" t="str">
        <f t="shared" si="27"/>
        <v>台</v>
      </c>
      <c r="L85" t="str">
        <f t="shared" si="33"/>
        <v>4210131</v>
      </c>
      <c r="M85" t="str">
        <f>""</f>
        <v/>
      </c>
    </row>
    <row r="86" spans="1:13" x14ac:dyDescent="0.15">
      <c r="A86" t="str">
        <f t="shared" si="28"/>
        <v>1851110500</v>
      </c>
      <c r="B86" t="str">
        <f t="shared" si="29"/>
        <v>安佐南・区政調整</v>
      </c>
      <c r="C86" t="str">
        <f t="shared" si="25"/>
        <v>01ﾀ00601</v>
      </c>
      <c r="D86" t="str">
        <f t="shared" si="26"/>
        <v>台</v>
      </c>
      <c r="E86" t="str">
        <f t="shared" si="34"/>
        <v>平台４尺×６尺</v>
      </c>
      <c r="F86" t="str">
        <f t="shared" si="30"/>
        <v>００６０</v>
      </c>
      <c r="G86" t="str">
        <f>"4200003774"</f>
        <v>4200003774</v>
      </c>
      <c r="H86" t="str">
        <f t="shared" si="24"/>
        <v>001</v>
      </c>
      <c r="I86" t="str">
        <f t="shared" si="32"/>
        <v>4210131</v>
      </c>
      <c r="J86">
        <f>33600</f>
        <v>33600</v>
      </c>
      <c r="K86" t="str">
        <f t="shared" si="27"/>
        <v>台</v>
      </c>
      <c r="L86" t="str">
        <f t="shared" si="33"/>
        <v>4210131</v>
      </c>
      <c r="M86" t="str">
        <f>""</f>
        <v/>
      </c>
    </row>
    <row r="87" spans="1:13" x14ac:dyDescent="0.15">
      <c r="A87" t="str">
        <f t="shared" si="28"/>
        <v>1851110500</v>
      </c>
      <c r="B87" t="str">
        <f t="shared" si="29"/>
        <v>安佐南・区政調整</v>
      </c>
      <c r="C87" t="str">
        <f t="shared" si="25"/>
        <v>01ﾀ00601</v>
      </c>
      <c r="D87" t="str">
        <f t="shared" si="26"/>
        <v>台</v>
      </c>
      <c r="E87" t="str">
        <f t="shared" si="34"/>
        <v>平台４尺×６尺</v>
      </c>
      <c r="F87" t="str">
        <f t="shared" si="30"/>
        <v>００６０</v>
      </c>
      <c r="G87" t="str">
        <f>"4200003775"</f>
        <v>4200003775</v>
      </c>
      <c r="H87" t="str">
        <f t="shared" si="24"/>
        <v>001</v>
      </c>
      <c r="I87" t="str">
        <f t="shared" si="32"/>
        <v>4210131</v>
      </c>
      <c r="J87">
        <f>33600</f>
        <v>33600</v>
      </c>
      <c r="K87" t="str">
        <f t="shared" si="27"/>
        <v>台</v>
      </c>
      <c r="L87" t="str">
        <f t="shared" si="33"/>
        <v>4210131</v>
      </c>
      <c r="M87" t="str">
        <f>""</f>
        <v/>
      </c>
    </row>
    <row r="88" spans="1:13" x14ac:dyDescent="0.15">
      <c r="A88" t="str">
        <f t="shared" si="28"/>
        <v>1851110500</v>
      </c>
      <c r="B88" t="str">
        <f t="shared" si="29"/>
        <v>安佐南・区政調整</v>
      </c>
      <c r="C88" t="str">
        <f t="shared" si="25"/>
        <v>01ﾀ00601</v>
      </c>
      <c r="D88" t="str">
        <f t="shared" si="26"/>
        <v>台</v>
      </c>
      <c r="E88" t="str">
        <f t="shared" si="34"/>
        <v>平台４尺×６尺</v>
      </c>
      <c r="F88" t="str">
        <f t="shared" si="30"/>
        <v>００６０</v>
      </c>
      <c r="G88" t="str">
        <f>"4200003776"</f>
        <v>4200003776</v>
      </c>
      <c r="H88" t="str">
        <f t="shared" si="24"/>
        <v>001</v>
      </c>
      <c r="I88" t="str">
        <f t="shared" si="32"/>
        <v>4210131</v>
      </c>
      <c r="J88">
        <f>33600</f>
        <v>33600</v>
      </c>
      <c r="K88" t="str">
        <f t="shared" si="27"/>
        <v>台</v>
      </c>
      <c r="L88" t="str">
        <f t="shared" si="33"/>
        <v>4210131</v>
      </c>
      <c r="M88" t="str">
        <f>""</f>
        <v/>
      </c>
    </row>
    <row r="89" spans="1:13" x14ac:dyDescent="0.15">
      <c r="A89" t="str">
        <f t="shared" si="28"/>
        <v>1851110500</v>
      </c>
      <c r="B89" t="str">
        <f t="shared" si="29"/>
        <v>安佐南・区政調整</v>
      </c>
      <c r="C89" t="str">
        <f t="shared" si="25"/>
        <v>01ﾀ00601</v>
      </c>
      <c r="D89" t="str">
        <f t="shared" si="26"/>
        <v>台</v>
      </c>
      <c r="E89" t="str">
        <f t="shared" si="34"/>
        <v>平台４尺×６尺</v>
      </c>
      <c r="F89" t="str">
        <f t="shared" si="30"/>
        <v>００６０</v>
      </c>
      <c r="G89" t="str">
        <f>"4200003777"</f>
        <v>4200003777</v>
      </c>
      <c r="H89" t="str">
        <f t="shared" si="24"/>
        <v>001</v>
      </c>
      <c r="I89" t="str">
        <f t="shared" si="32"/>
        <v>4210131</v>
      </c>
      <c r="J89">
        <f>33600</f>
        <v>33600</v>
      </c>
      <c r="K89" t="str">
        <f t="shared" si="27"/>
        <v>台</v>
      </c>
      <c r="L89" t="str">
        <f t="shared" si="33"/>
        <v>4210131</v>
      </c>
      <c r="M89" t="str">
        <f>""</f>
        <v/>
      </c>
    </row>
    <row r="90" spans="1:13" x14ac:dyDescent="0.15">
      <c r="A90" t="str">
        <f t="shared" si="28"/>
        <v>1851110500</v>
      </c>
      <c r="B90" t="str">
        <f t="shared" si="29"/>
        <v>安佐南・区政調整</v>
      </c>
      <c r="C90" t="str">
        <f t="shared" si="25"/>
        <v>01ﾀ00601</v>
      </c>
      <c r="D90" t="str">
        <f t="shared" si="26"/>
        <v>台</v>
      </c>
      <c r="E90" t="str">
        <f t="shared" si="34"/>
        <v>平台４尺×６尺</v>
      </c>
      <c r="F90" t="str">
        <f t="shared" si="30"/>
        <v>００６０</v>
      </c>
      <c r="G90" t="str">
        <f>"4200003778"</f>
        <v>4200003778</v>
      </c>
      <c r="H90" t="str">
        <f t="shared" si="24"/>
        <v>001</v>
      </c>
      <c r="I90" t="str">
        <f t="shared" si="32"/>
        <v>4210131</v>
      </c>
      <c r="J90">
        <f>33600</f>
        <v>33600</v>
      </c>
      <c r="K90" t="str">
        <f t="shared" si="27"/>
        <v>台</v>
      </c>
      <c r="L90" t="str">
        <f t="shared" si="33"/>
        <v>4210131</v>
      </c>
      <c r="M90" t="str">
        <f>""</f>
        <v/>
      </c>
    </row>
    <row r="91" spans="1:13" x14ac:dyDescent="0.15">
      <c r="A91" t="str">
        <f t="shared" si="28"/>
        <v>1851110500</v>
      </c>
      <c r="B91" t="str">
        <f t="shared" si="29"/>
        <v>安佐南・区政調整</v>
      </c>
      <c r="C91" t="str">
        <f t="shared" si="25"/>
        <v>01ﾀ00601</v>
      </c>
      <c r="D91" t="str">
        <f t="shared" si="26"/>
        <v>台</v>
      </c>
      <c r="E91" t="str">
        <f t="shared" si="34"/>
        <v>平台４尺×６尺</v>
      </c>
      <c r="F91" t="str">
        <f t="shared" si="30"/>
        <v>００６０</v>
      </c>
      <c r="G91" t="str">
        <f>"4200003779"</f>
        <v>4200003779</v>
      </c>
      <c r="H91" t="str">
        <f t="shared" ref="H91:H122" si="35">"001"</f>
        <v>001</v>
      </c>
      <c r="I91" t="str">
        <f t="shared" si="32"/>
        <v>4210131</v>
      </c>
      <c r="J91">
        <f>33600</f>
        <v>33600</v>
      </c>
      <c r="K91" t="str">
        <f t="shared" si="27"/>
        <v>台</v>
      </c>
      <c r="L91" t="str">
        <f t="shared" si="33"/>
        <v>4210131</v>
      </c>
      <c r="M91" t="str">
        <f>""</f>
        <v/>
      </c>
    </row>
    <row r="92" spans="1:13" x14ac:dyDescent="0.15">
      <c r="A92" t="str">
        <f t="shared" si="28"/>
        <v>1851110500</v>
      </c>
      <c r="B92" t="str">
        <f t="shared" si="29"/>
        <v>安佐南・区政調整</v>
      </c>
      <c r="C92" t="str">
        <f t="shared" si="25"/>
        <v>01ﾀ00601</v>
      </c>
      <c r="D92" t="str">
        <f t="shared" si="26"/>
        <v>台</v>
      </c>
      <c r="E92" t="str">
        <f t="shared" si="34"/>
        <v>平台４尺×６尺</v>
      </c>
      <c r="F92" t="str">
        <f t="shared" si="30"/>
        <v>００６０</v>
      </c>
      <c r="G92" t="str">
        <f>"4200003780"</f>
        <v>4200003780</v>
      </c>
      <c r="H92" t="str">
        <f t="shared" si="35"/>
        <v>001</v>
      </c>
      <c r="I92" t="str">
        <f t="shared" si="32"/>
        <v>4210131</v>
      </c>
      <c r="J92">
        <f>33600</f>
        <v>33600</v>
      </c>
      <c r="K92" t="str">
        <f t="shared" si="27"/>
        <v>台</v>
      </c>
      <c r="L92" t="str">
        <f t="shared" si="33"/>
        <v>4210131</v>
      </c>
      <c r="M92" t="str">
        <f>""</f>
        <v/>
      </c>
    </row>
    <row r="93" spans="1:13" x14ac:dyDescent="0.15">
      <c r="A93" t="str">
        <f t="shared" si="28"/>
        <v>1851110500</v>
      </c>
      <c r="B93" t="str">
        <f t="shared" si="29"/>
        <v>安佐南・区政調整</v>
      </c>
      <c r="C93" t="str">
        <f t="shared" si="25"/>
        <v>01ﾀ00601</v>
      </c>
      <c r="D93" t="str">
        <f t="shared" si="26"/>
        <v>台</v>
      </c>
      <c r="E93" t="str">
        <f t="shared" si="34"/>
        <v>平台４尺×６尺</v>
      </c>
      <c r="F93" t="str">
        <f t="shared" si="30"/>
        <v>００６０</v>
      </c>
      <c r="G93" t="str">
        <f>"4200003781"</f>
        <v>4200003781</v>
      </c>
      <c r="H93" t="str">
        <f t="shared" si="35"/>
        <v>001</v>
      </c>
      <c r="I93" t="str">
        <f t="shared" si="32"/>
        <v>4210131</v>
      </c>
      <c r="J93">
        <f>33600</f>
        <v>33600</v>
      </c>
      <c r="K93" t="str">
        <f t="shared" si="27"/>
        <v>台</v>
      </c>
      <c r="L93" t="str">
        <f t="shared" si="33"/>
        <v>4210131</v>
      </c>
      <c r="M93" t="str">
        <f>""</f>
        <v/>
      </c>
    </row>
    <row r="94" spans="1:13" x14ac:dyDescent="0.15">
      <c r="A94" t="str">
        <f t="shared" si="28"/>
        <v>1851110500</v>
      </c>
      <c r="B94" t="str">
        <f t="shared" si="29"/>
        <v>安佐南・区政調整</v>
      </c>
      <c r="C94" t="str">
        <f t="shared" si="25"/>
        <v>01ﾀ00601</v>
      </c>
      <c r="D94" t="str">
        <f t="shared" si="26"/>
        <v>台</v>
      </c>
      <c r="E94" t="str">
        <f t="shared" si="34"/>
        <v>平台４尺×６尺</v>
      </c>
      <c r="F94" t="str">
        <f t="shared" si="30"/>
        <v>００６０</v>
      </c>
      <c r="G94" t="str">
        <f>"4200003782"</f>
        <v>4200003782</v>
      </c>
      <c r="H94" t="str">
        <f t="shared" si="35"/>
        <v>001</v>
      </c>
      <c r="I94" t="str">
        <f t="shared" si="32"/>
        <v>4210131</v>
      </c>
      <c r="J94">
        <f>33600</f>
        <v>33600</v>
      </c>
      <c r="K94" t="str">
        <f t="shared" si="27"/>
        <v>台</v>
      </c>
      <c r="L94" t="str">
        <f t="shared" si="33"/>
        <v>4210131</v>
      </c>
      <c r="M94" t="str">
        <f>""</f>
        <v/>
      </c>
    </row>
    <row r="95" spans="1:13" x14ac:dyDescent="0.15">
      <c r="A95" t="str">
        <f t="shared" si="28"/>
        <v>1851110500</v>
      </c>
      <c r="B95" t="str">
        <f t="shared" si="29"/>
        <v>安佐南・区政調整</v>
      </c>
      <c r="C95" t="str">
        <f t="shared" si="25"/>
        <v>01ﾀ00601</v>
      </c>
      <c r="D95" t="str">
        <f t="shared" si="26"/>
        <v>台</v>
      </c>
      <c r="E95" t="str">
        <f t="shared" si="34"/>
        <v>平台４尺×６尺</v>
      </c>
      <c r="F95" t="str">
        <f t="shared" si="30"/>
        <v>００６０</v>
      </c>
      <c r="G95" t="str">
        <f>"4200003783"</f>
        <v>4200003783</v>
      </c>
      <c r="H95" t="str">
        <f t="shared" si="35"/>
        <v>001</v>
      </c>
      <c r="I95" t="str">
        <f t="shared" si="32"/>
        <v>4210131</v>
      </c>
      <c r="J95">
        <f>33600</f>
        <v>33600</v>
      </c>
      <c r="K95" t="str">
        <f t="shared" si="27"/>
        <v>台</v>
      </c>
      <c r="L95" t="str">
        <f t="shared" si="33"/>
        <v>4210131</v>
      </c>
      <c r="M95" t="str">
        <f>""</f>
        <v/>
      </c>
    </row>
    <row r="96" spans="1:13" x14ac:dyDescent="0.15">
      <c r="A96" t="str">
        <f t="shared" si="28"/>
        <v>1851110500</v>
      </c>
      <c r="B96" t="str">
        <f t="shared" si="29"/>
        <v>安佐南・区政調整</v>
      </c>
      <c r="C96" t="str">
        <f t="shared" si="25"/>
        <v>01ﾀ00601</v>
      </c>
      <c r="D96" t="str">
        <f t="shared" si="26"/>
        <v>台</v>
      </c>
      <c r="E96" t="str">
        <f t="shared" si="34"/>
        <v>平台４尺×６尺</v>
      </c>
      <c r="F96" t="str">
        <f t="shared" si="30"/>
        <v>００６０</v>
      </c>
      <c r="G96" t="str">
        <f>"4200003784"</f>
        <v>4200003784</v>
      </c>
      <c r="H96" t="str">
        <f t="shared" si="35"/>
        <v>001</v>
      </c>
      <c r="I96" t="str">
        <f t="shared" si="32"/>
        <v>4210131</v>
      </c>
      <c r="J96">
        <f>33600</f>
        <v>33600</v>
      </c>
      <c r="K96" t="str">
        <f t="shared" si="27"/>
        <v>台</v>
      </c>
      <c r="L96" t="str">
        <f t="shared" si="33"/>
        <v>4210131</v>
      </c>
      <c r="M96" t="str">
        <f>""</f>
        <v/>
      </c>
    </row>
    <row r="97" spans="1:13" x14ac:dyDescent="0.15">
      <c r="A97" t="str">
        <f t="shared" si="28"/>
        <v>1851110500</v>
      </c>
      <c r="B97" t="str">
        <f t="shared" si="29"/>
        <v>安佐南・区政調整</v>
      </c>
      <c r="C97" t="str">
        <f t="shared" si="25"/>
        <v>01ﾀ00601</v>
      </c>
      <c r="D97" t="str">
        <f t="shared" si="26"/>
        <v>台</v>
      </c>
      <c r="E97" t="str">
        <f t="shared" si="34"/>
        <v>平台４尺×６尺</v>
      </c>
      <c r="F97" t="str">
        <f t="shared" si="30"/>
        <v>００６０</v>
      </c>
      <c r="G97" t="str">
        <f>"4200003785"</f>
        <v>4200003785</v>
      </c>
      <c r="H97" t="str">
        <f t="shared" si="35"/>
        <v>001</v>
      </c>
      <c r="I97" t="str">
        <f t="shared" si="32"/>
        <v>4210131</v>
      </c>
      <c r="J97">
        <f>33600</f>
        <v>33600</v>
      </c>
      <c r="K97" t="str">
        <f t="shared" si="27"/>
        <v>台</v>
      </c>
      <c r="L97" t="str">
        <f t="shared" si="33"/>
        <v>4210131</v>
      </c>
      <c r="M97" t="str">
        <f>""</f>
        <v/>
      </c>
    </row>
    <row r="98" spans="1:13" x14ac:dyDescent="0.15">
      <c r="A98" t="str">
        <f t="shared" si="28"/>
        <v>1851110500</v>
      </c>
      <c r="B98" t="str">
        <f t="shared" si="29"/>
        <v>安佐南・区政調整</v>
      </c>
      <c r="C98" t="str">
        <f t="shared" si="25"/>
        <v>01ﾀ00601</v>
      </c>
      <c r="D98" t="str">
        <f t="shared" si="26"/>
        <v>台</v>
      </c>
      <c r="E98" t="str">
        <f t="shared" si="34"/>
        <v>平台４尺×６尺</v>
      </c>
      <c r="F98" t="str">
        <f t="shared" si="30"/>
        <v>００６０</v>
      </c>
      <c r="G98" t="str">
        <f>"4200003786"</f>
        <v>4200003786</v>
      </c>
      <c r="H98" t="str">
        <f t="shared" si="35"/>
        <v>001</v>
      </c>
      <c r="I98" t="str">
        <f t="shared" si="32"/>
        <v>4210131</v>
      </c>
      <c r="J98">
        <f>33600</f>
        <v>33600</v>
      </c>
      <c r="K98" t="str">
        <f t="shared" si="27"/>
        <v>台</v>
      </c>
      <c r="L98" t="str">
        <f t="shared" si="33"/>
        <v>4210131</v>
      </c>
      <c r="M98" t="str">
        <f>""</f>
        <v/>
      </c>
    </row>
    <row r="99" spans="1:13" x14ac:dyDescent="0.15">
      <c r="A99" t="str">
        <f t="shared" si="28"/>
        <v>1851110500</v>
      </c>
      <c r="B99" t="str">
        <f t="shared" si="29"/>
        <v>安佐南・区政調整</v>
      </c>
      <c r="C99" t="str">
        <f t="shared" si="25"/>
        <v>01ﾀ00601</v>
      </c>
      <c r="D99" t="str">
        <f t="shared" si="26"/>
        <v>台</v>
      </c>
      <c r="E99" t="str">
        <f t="shared" ref="E99:E104" si="36">"平台６尺×６尺"</f>
        <v>平台６尺×６尺</v>
      </c>
      <c r="F99" t="str">
        <f t="shared" si="30"/>
        <v>００６０</v>
      </c>
      <c r="G99" t="str">
        <f>"4200003787"</f>
        <v>4200003787</v>
      </c>
      <c r="H99" t="str">
        <f t="shared" si="35"/>
        <v>001</v>
      </c>
      <c r="I99" t="str">
        <f t="shared" si="32"/>
        <v>4210131</v>
      </c>
      <c r="J99">
        <f>42000</f>
        <v>42000</v>
      </c>
      <c r="K99" t="str">
        <f t="shared" si="27"/>
        <v>台</v>
      </c>
      <c r="L99" t="str">
        <f t="shared" si="33"/>
        <v>4210131</v>
      </c>
      <c r="M99" t="str">
        <f>""</f>
        <v/>
      </c>
    </row>
    <row r="100" spans="1:13" x14ac:dyDescent="0.15">
      <c r="A100" t="str">
        <f t="shared" si="28"/>
        <v>1851110500</v>
      </c>
      <c r="B100" t="str">
        <f t="shared" si="29"/>
        <v>安佐南・区政調整</v>
      </c>
      <c r="C100" t="str">
        <f t="shared" si="25"/>
        <v>01ﾀ00601</v>
      </c>
      <c r="D100" t="str">
        <f t="shared" si="26"/>
        <v>台</v>
      </c>
      <c r="E100" t="str">
        <f t="shared" si="36"/>
        <v>平台６尺×６尺</v>
      </c>
      <c r="F100" t="str">
        <f t="shared" si="30"/>
        <v>００６０</v>
      </c>
      <c r="G100" t="str">
        <f>"4200003788"</f>
        <v>4200003788</v>
      </c>
      <c r="H100" t="str">
        <f t="shared" si="35"/>
        <v>001</v>
      </c>
      <c r="I100" t="str">
        <f t="shared" si="32"/>
        <v>4210131</v>
      </c>
      <c r="J100">
        <f>42000</f>
        <v>42000</v>
      </c>
      <c r="K100" t="str">
        <f t="shared" si="27"/>
        <v>台</v>
      </c>
      <c r="L100" t="str">
        <f t="shared" si="33"/>
        <v>4210131</v>
      </c>
      <c r="M100" t="str">
        <f>""</f>
        <v/>
      </c>
    </row>
    <row r="101" spans="1:13" x14ac:dyDescent="0.15">
      <c r="A101" t="str">
        <f t="shared" si="28"/>
        <v>1851110500</v>
      </c>
      <c r="B101" t="str">
        <f t="shared" si="29"/>
        <v>安佐南・区政調整</v>
      </c>
      <c r="C101" t="str">
        <f t="shared" si="25"/>
        <v>01ﾀ00601</v>
      </c>
      <c r="D101" t="str">
        <f t="shared" si="26"/>
        <v>台</v>
      </c>
      <c r="E101" t="str">
        <f t="shared" si="36"/>
        <v>平台６尺×６尺</v>
      </c>
      <c r="F101" t="str">
        <f t="shared" si="30"/>
        <v>００６０</v>
      </c>
      <c r="G101" t="str">
        <f>"4200003789"</f>
        <v>4200003789</v>
      </c>
      <c r="H101" t="str">
        <f t="shared" si="35"/>
        <v>001</v>
      </c>
      <c r="I101" t="str">
        <f t="shared" si="32"/>
        <v>4210131</v>
      </c>
      <c r="J101">
        <f>42000</f>
        <v>42000</v>
      </c>
      <c r="K101" t="str">
        <f t="shared" si="27"/>
        <v>台</v>
      </c>
      <c r="L101" t="str">
        <f t="shared" si="33"/>
        <v>4210131</v>
      </c>
      <c r="M101" t="str">
        <f>""</f>
        <v/>
      </c>
    </row>
    <row r="102" spans="1:13" x14ac:dyDescent="0.15">
      <c r="A102" t="str">
        <f t="shared" si="28"/>
        <v>1851110500</v>
      </c>
      <c r="B102" t="str">
        <f t="shared" si="29"/>
        <v>安佐南・区政調整</v>
      </c>
      <c r="C102" t="str">
        <f t="shared" si="25"/>
        <v>01ﾀ00601</v>
      </c>
      <c r="D102" t="str">
        <f t="shared" si="26"/>
        <v>台</v>
      </c>
      <c r="E102" t="str">
        <f t="shared" si="36"/>
        <v>平台６尺×６尺</v>
      </c>
      <c r="F102" t="str">
        <f t="shared" si="30"/>
        <v>００６０</v>
      </c>
      <c r="G102" t="str">
        <f>"4200003790"</f>
        <v>4200003790</v>
      </c>
      <c r="H102" t="str">
        <f t="shared" si="35"/>
        <v>001</v>
      </c>
      <c r="I102" t="str">
        <f t="shared" si="32"/>
        <v>4210131</v>
      </c>
      <c r="J102">
        <f>42000</f>
        <v>42000</v>
      </c>
      <c r="K102" t="str">
        <f t="shared" si="27"/>
        <v>台</v>
      </c>
      <c r="L102" t="str">
        <f t="shared" si="33"/>
        <v>4210131</v>
      </c>
      <c r="M102" t="str">
        <f>""</f>
        <v/>
      </c>
    </row>
    <row r="103" spans="1:13" x14ac:dyDescent="0.15">
      <c r="A103" t="str">
        <f t="shared" si="28"/>
        <v>1851110500</v>
      </c>
      <c r="B103" t="str">
        <f t="shared" si="29"/>
        <v>安佐南・区政調整</v>
      </c>
      <c r="C103" t="str">
        <f t="shared" si="25"/>
        <v>01ﾀ00601</v>
      </c>
      <c r="D103" t="str">
        <f t="shared" si="26"/>
        <v>台</v>
      </c>
      <c r="E103" t="str">
        <f t="shared" si="36"/>
        <v>平台６尺×６尺</v>
      </c>
      <c r="F103" t="str">
        <f t="shared" si="30"/>
        <v>００６０</v>
      </c>
      <c r="G103" t="str">
        <f>"4200003791"</f>
        <v>4200003791</v>
      </c>
      <c r="H103" t="str">
        <f t="shared" si="35"/>
        <v>001</v>
      </c>
      <c r="I103" t="str">
        <f t="shared" si="32"/>
        <v>4210131</v>
      </c>
      <c r="J103">
        <f>42000</f>
        <v>42000</v>
      </c>
      <c r="K103" t="str">
        <f t="shared" si="27"/>
        <v>台</v>
      </c>
      <c r="L103" t="str">
        <f t="shared" si="33"/>
        <v>4210131</v>
      </c>
      <c r="M103" t="str">
        <f>""</f>
        <v/>
      </c>
    </row>
    <row r="104" spans="1:13" x14ac:dyDescent="0.15">
      <c r="A104" t="str">
        <f t="shared" si="28"/>
        <v>1851110500</v>
      </c>
      <c r="B104" t="str">
        <f t="shared" si="29"/>
        <v>安佐南・区政調整</v>
      </c>
      <c r="C104" t="str">
        <f t="shared" si="25"/>
        <v>01ﾀ00601</v>
      </c>
      <c r="D104" t="str">
        <f t="shared" si="26"/>
        <v>台</v>
      </c>
      <c r="E104" t="str">
        <f t="shared" si="36"/>
        <v>平台６尺×６尺</v>
      </c>
      <c r="F104" t="str">
        <f t="shared" si="30"/>
        <v>００６０</v>
      </c>
      <c r="G104" t="str">
        <f>"4200003792"</f>
        <v>4200003792</v>
      </c>
      <c r="H104" t="str">
        <f t="shared" si="35"/>
        <v>001</v>
      </c>
      <c r="I104" t="str">
        <f t="shared" si="32"/>
        <v>4210131</v>
      </c>
      <c r="J104">
        <f>42000</f>
        <v>42000</v>
      </c>
      <c r="K104" t="str">
        <f t="shared" si="27"/>
        <v>台</v>
      </c>
      <c r="L104" t="str">
        <f t="shared" si="33"/>
        <v>4210131</v>
      </c>
      <c r="M104" t="str">
        <f>""</f>
        <v/>
      </c>
    </row>
    <row r="105" spans="1:13" x14ac:dyDescent="0.15">
      <c r="A105" t="str">
        <f t="shared" si="28"/>
        <v>1851110500</v>
      </c>
      <c r="B105" t="str">
        <f t="shared" si="29"/>
        <v>安佐南・区政調整</v>
      </c>
      <c r="C105" t="str">
        <f>"01ﾂ00101"</f>
        <v>01ﾂ00101</v>
      </c>
      <c r="D105" t="str">
        <f>"机"</f>
        <v>机</v>
      </c>
      <c r="E105" t="str">
        <f>"教卓イトーＳＫ９"</f>
        <v>教卓イトーＳＫ９</v>
      </c>
      <c r="F105" t="str">
        <f t="shared" si="30"/>
        <v>００６０</v>
      </c>
      <c r="G105" t="str">
        <f>"3590002223"</f>
        <v>3590002223</v>
      </c>
      <c r="H105" t="str">
        <f t="shared" si="35"/>
        <v>001</v>
      </c>
      <c r="I105" t="str">
        <f>"4100401"</f>
        <v>4100401</v>
      </c>
      <c r="J105">
        <f>400000</f>
        <v>400000</v>
      </c>
      <c r="K105" t="str">
        <f t="shared" ref="K105:K117" si="37">"脚"</f>
        <v>脚</v>
      </c>
      <c r="L105" t="str">
        <f>"3600117"</f>
        <v>3600117</v>
      </c>
      <c r="M105" t="str">
        <f>""</f>
        <v/>
      </c>
    </row>
    <row r="106" spans="1:13" x14ac:dyDescent="0.15">
      <c r="A106" t="str">
        <f t="shared" si="28"/>
        <v>1851110500</v>
      </c>
      <c r="B106" t="str">
        <f t="shared" si="29"/>
        <v>安佐南・区政調整</v>
      </c>
      <c r="C106" t="str">
        <f>"01ﾂ00105"</f>
        <v>01ﾂ00105</v>
      </c>
      <c r="D106" t="str">
        <f>"両袖机"</f>
        <v>両袖机</v>
      </c>
      <c r="E106" t="str">
        <f>"オカムラ３８０７ＥＡ"</f>
        <v>オカムラ３８０７ＥＡ</v>
      </c>
      <c r="F106" t="str">
        <f t="shared" si="30"/>
        <v>００６０</v>
      </c>
      <c r="G106" t="str">
        <f>"3590002224"</f>
        <v>3590002224</v>
      </c>
      <c r="H106" t="str">
        <f t="shared" si="35"/>
        <v>001</v>
      </c>
      <c r="I106" t="str">
        <f>"4100401"</f>
        <v>4100401</v>
      </c>
      <c r="J106">
        <f>57000</f>
        <v>57000</v>
      </c>
      <c r="K106" t="str">
        <f t="shared" si="37"/>
        <v>脚</v>
      </c>
      <c r="L106" t="str">
        <f>"3591226"</f>
        <v>3591226</v>
      </c>
      <c r="M106" t="str">
        <f>""</f>
        <v/>
      </c>
    </row>
    <row r="107" spans="1:13" x14ac:dyDescent="0.15">
      <c r="A107" t="str">
        <f t="shared" si="28"/>
        <v>1851110500</v>
      </c>
      <c r="B107" t="str">
        <f t="shared" si="29"/>
        <v>安佐南・区政調整</v>
      </c>
      <c r="C107" t="str">
        <f t="shared" ref="C107:C115" si="38">"01ﾂ00108"</f>
        <v>01ﾂ00108</v>
      </c>
      <c r="D107" t="str">
        <f t="shared" ref="D107:D115" si="39">"長机"</f>
        <v>長机</v>
      </c>
      <c r="E107" t="str">
        <f t="shared" ref="E107:E112" si="40">"折りたたみ式パネルなし"</f>
        <v>折りたたみ式パネルなし</v>
      </c>
      <c r="F107" t="str">
        <f t="shared" si="30"/>
        <v>００６０</v>
      </c>
      <c r="G107" t="str">
        <f>"4190004755"</f>
        <v>4190004755</v>
      </c>
      <c r="H107" t="str">
        <f t="shared" si="35"/>
        <v>001</v>
      </c>
      <c r="I107" t="str">
        <f t="shared" ref="I107:I115" si="41">"4191002"</f>
        <v>4191002</v>
      </c>
      <c r="J107">
        <f>22000</f>
        <v>22000</v>
      </c>
      <c r="K107" t="str">
        <f t="shared" si="37"/>
        <v>脚</v>
      </c>
      <c r="L107" t="str">
        <f t="shared" ref="L107:L115" si="42">"4191002"</f>
        <v>4191002</v>
      </c>
      <c r="M107" t="str">
        <f>""</f>
        <v/>
      </c>
    </row>
    <row r="108" spans="1:13" x14ac:dyDescent="0.15">
      <c r="A108" t="str">
        <f t="shared" si="28"/>
        <v>1851110500</v>
      </c>
      <c r="B108" t="str">
        <f t="shared" si="29"/>
        <v>安佐南・区政調整</v>
      </c>
      <c r="C108" t="str">
        <f t="shared" si="38"/>
        <v>01ﾂ00108</v>
      </c>
      <c r="D108" t="str">
        <f t="shared" si="39"/>
        <v>長机</v>
      </c>
      <c r="E108" t="str">
        <f t="shared" si="40"/>
        <v>折りたたみ式パネルなし</v>
      </c>
      <c r="F108" t="str">
        <f t="shared" si="30"/>
        <v>００６０</v>
      </c>
      <c r="G108" t="str">
        <f>"4190004756"</f>
        <v>4190004756</v>
      </c>
      <c r="H108" t="str">
        <f t="shared" si="35"/>
        <v>001</v>
      </c>
      <c r="I108" t="str">
        <f t="shared" si="41"/>
        <v>4191002</v>
      </c>
      <c r="J108">
        <f>22000</f>
        <v>22000</v>
      </c>
      <c r="K108" t="str">
        <f t="shared" si="37"/>
        <v>脚</v>
      </c>
      <c r="L108" t="str">
        <f t="shared" si="42"/>
        <v>4191002</v>
      </c>
      <c r="M108" t="str">
        <f>""</f>
        <v/>
      </c>
    </row>
    <row r="109" spans="1:13" x14ac:dyDescent="0.15">
      <c r="A109" t="str">
        <f t="shared" si="28"/>
        <v>1851110500</v>
      </c>
      <c r="B109" t="str">
        <f t="shared" si="29"/>
        <v>安佐南・区政調整</v>
      </c>
      <c r="C109" t="str">
        <f t="shared" si="38"/>
        <v>01ﾂ00108</v>
      </c>
      <c r="D109" t="str">
        <f t="shared" si="39"/>
        <v>長机</v>
      </c>
      <c r="E109" t="str">
        <f t="shared" si="40"/>
        <v>折りたたみ式パネルなし</v>
      </c>
      <c r="F109" t="str">
        <f t="shared" si="30"/>
        <v>００６０</v>
      </c>
      <c r="G109" t="str">
        <f>"4190004757"</f>
        <v>4190004757</v>
      </c>
      <c r="H109" t="str">
        <f t="shared" si="35"/>
        <v>001</v>
      </c>
      <c r="I109" t="str">
        <f t="shared" si="41"/>
        <v>4191002</v>
      </c>
      <c r="J109">
        <f>22000</f>
        <v>22000</v>
      </c>
      <c r="K109" t="str">
        <f t="shared" si="37"/>
        <v>脚</v>
      </c>
      <c r="L109" t="str">
        <f t="shared" si="42"/>
        <v>4191002</v>
      </c>
      <c r="M109" t="str">
        <f>""</f>
        <v/>
      </c>
    </row>
    <row r="110" spans="1:13" x14ac:dyDescent="0.15">
      <c r="A110" t="str">
        <f t="shared" si="28"/>
        <v>1851110500</v>
      </c>
      <c r="B110" t="str">
        <f t="shared" si="29"/>
        <v>安佐南・区政調整</v>
      </c>
      <c r="C110" t="str">
        <f t="shared" si="38"/>
        <v>01ﾂ00108</v>
      </c>
      <c r="D110" t="str">
        <f t="shared" si="39"/>
        <v>長机</v>
      </c>
      <c r="E110" t="str">
        <f t="shared" si="40"/>
        <v>折りたたみ式パネルなし</v>
      </c>
      <c r="F110" t="str">
        <f t="shared" si="30"/>
        <v>００６０</v>
      </c>
      <c r="G110" t="str">
        <f>"4190004758"</f>
        <v>4190004758</v>
      </c>
      <c r="H110" t="str">
        <f t="shared" si="35"/>
        <v>001</v>
      </c>
      <c r="I110" t="str">
        <f t="shared" si="41"/>
        <v>4191002</v>
      </c>
      <c r="J110">
        <f>22000</f>
        <v>22000</v>
      </c>
      <c r="K110" t="str">
        <f t="shared" si="37"/>
        <v>脚</v>
      </c>
      <c r="L110" t="str">
        <f t="shared" si="42"/>
        <v>4191002</v>
      </c>
      <c r="M110" t="str">
        <f>""</f>
        <v/>
      </c>
    </row>
    <row r="111" spans="1:13" x14ac:dyDescent="0.15">
      <c r="A111" t="str">
        <f t="shared" si="28"/>
        <v>1851110500</v>
      </c>
      <c r="B111" t="str">
        <f t="shared" si="29"/>
        <v>安佐南・区政調整</v>
      </c>
      <c r="C111" t="str">
        <f t="shared" si="38"/>
        <v>01ﾂ00108</v>
      </c>
      <c r="D111" t="str">
        <f t="shared" si="39"/>
        <v>長机</v>
      </c>
      <c r="E111" t="str">
        <f t="shared" si="40"/>
        <v>折りたたみ式パネルなし</v>
      </c>
      <c r="F111" t="str">
        <f t="shared" si="30"/>
        <v>００６０</v>
      </c>
      <c r="G111" t="str">
        <f>"4190004759"</f>
        <v>4190004759</v>
      </c>
      <c r="H111" t="str">
        <f t="shared" si="35"/>
        <v>001</v>
      </c>
      <c r="I111" t="str">
        <f t="shared" si="41"/>
        <v>4191002</v>
      </c>
      <c r="J111">
        <f>22000</f>
        <v>22000</v>
      </c>
      <c r="K111" t="str">
        <f t="shared" si="37"/>
        <v>脚</v>
      </c>
      <c r="L111" t="str">
        <f t="shared" si="42"/>
        <v>4191002</v>
      </c>
      <c r="M111" t="str">
        <f>""</f>
        <v/>
      </c>
    </row>
    <row r="112" spans="1:13" x14ac:dyDescent="0.15">
      <c r="A112" t="str">
        <f t="shared" si="28"/>
        <v>1851110500</v>
      </c>
      <c r="B112" t="str">
        <f t="shared" si="29"/>
        <v>安佐南・区政調整</v>
      </c>
      <c r="C112" t="str">
        <f t="shared" si="38"/>
        <v>01ﾂ00108</v>
      </c>
      <c r="D112" t="str">
        <f t="shared" si="39"/>
        <v>長机</v>
      </c>
      <c r="E112" t="str">
        <f t="shared" si="40"/>
        <v>折りたたみ式パネルなし</v>
      </c>
      <c r="F112" t="str">
        <f t="shared" si="30"/>
        <v>００６０</v>
      </c>
      <c r="G112" t="str">
        <f>"4190004760"</f>
        <v>4190004760</v>
      </c>
      <c r="H112" t="str">
        <f t="shared" si="35"/>
        <v>001</v>
      </c>
      <c r="I112" t="str">
        <f t="shared" si="41"/>
        <v>4191002</v>
      </c>
      <c r="J112">
        <f>22000</f>
        <v>22000</v>
      </c>
      <c r="K112" t="str">
        <f t="shared" si="37"/>
        <v>脚</v>
      </c>
      <c r="L112" t="str">
        <f t="shared" si="42"/>
        <v>4191002</v>
      </c>
      <c r="M112" t="str">
        <f>""</f>
        <v/>
      </c>
    </row>
    <row r="113" spans="1:13" x14ac:dyDescent="0.15">
      <c r="A113" t="str">
        <f t="shared" si="28"/>
        <v>1851110500</v>
      </c>
      <c r="B113" t="str">
        <f t="shared" si="29"/>
        <v>安佐南・区政調整</v>
      </c>
      <c r="C113" t="str">
        <f t="shared" si="38"/>
        <v>01ﾂ00108</v>
      </c>
      <c r="D113" t="str">
        <f t="shared" si="39"/>
        <v>長机</v>
      </c>
      <c r="E113" t="str">
        <f>"折りたたみ式幕板付"</f>
        <v>折りたたみ式幕板付</v>
      </c>
      <c r="F113" t="str">
        <f t="shared" si="30"/>
        <v>００６０</v>
      </c>
      <c r="G113" t="str">
        <f>"4190004761"</f>
        <v>4190004761</v>
      </c>
      <c r="H113" t="str">
        <f t="shared" si="35"/>
        <v>001</v>
      </c>
      <c r="I113" t="str">
        <f t="shared" si="41"/>
        <v>4191002</v>
      </c>
      <c r="J113">
        <f>36050</f>
        <v>36050</v>
      </c>
      <c r="K113" t="str">
        <f t="shared" si="37"/>
        <v>脚</v>
      </c>
      <c r="L113" t="str">
        <f t="shared" si="42"/>
        <v>4191002</v>
      </c>
      <c r="M113" t="str">
        <f>""</f>
        <v/>
      </c>
    </row>
    <row r="114" spans="1:13" x14ac:dyDescent="0.15">
      <c r="A114" t="str">
        <f t="shared" si="28"/>
        <v>1851110500</v>
      </c>
      <c r="B114" t="str">
        <f t="shared" si="29"/>
        <v>安佐南・区政調整</v>
      </c>
      <c r="C114" t="str">
        <f t="shared" si="38"/>
        <v>01ﾂ00108</v>
      </c>
      <c r="D114" t="str">
        <f t="shared" si="39"/>
        <v>長机</v>
      </c>
      <c r="E114" t="str">
        <f>"折りたたみ式幕板付"</f>
        <v>折りたたみ式幕板付</v>
      </c>
      <c r="F114" t="str">
        <f t="shared" si="30"/>
        <v>００６０</v>
      </c>
      <c r="G114" t="str">
        <f>"4190004762"</f>
        <v>4190004762</v>
      </c>
      <c r="H114" t="str">
        <f t="shared" si="35"/>
        <v>001</v>
      </c>
      <c r="I114" t="str">
        <f t="shared" si="41"/>
        <v>4191002</v>
      </c>
      <c r="J114">
        <f>36050</f>
        <v>36050</v>
      </c>
      <c r="K114" t="str">
        <f t="shared" si="37"/>
        <v>脚</v>
      </c>
      <c r="L114" t="str">
        <f t="shared" si="42"/>
        <v>4191002</v>
      </c>
      <c r="M114" t="str">
        <f>""</f>
        <v/>
      </c>
    </row>
    <row r="115" spans="1:13" x14ac:dyDescent="0.15">
      <c r="A115" t="str">
        <f t="shared" si="28"/>
        <v>1851110500</v>
      </c>
      <c r="B115" t="str">
        <f t="shared" si="29"/>
        <v>安佐南・区政調整</v>
      </c>
      <c r="C115" t="str">
        <f t="shared" si="38"/>
        <v>01ﾂ00108</v>
      </c>
      <c r="D115" t="str">
        <f t="shared" si="39"/>
        <v>長机</v>
      </c>
      <c r="E115" t="str">
        <f>"折りたたみ式幕板付"</f>
        <v>折りたたみ式幕板付</v>
      </c>
      <c r="F115" t="str">
        <f t="shared" si="30"/>
        <v>００６０</v>
      </c>
      <c r="G115" t="str">
        <f>"4190004763"</f>
        <v>4190004763</v>
      </c>
      <c r="H115" t="str">
        <f t="shared" si="35"/>
        <v>001</v>
      </c>
      <c r="I115" t="str">
        <f t="shared" si="41"/>
        <v>4191002</v>
      </c>
      <c r="J115">
        <f>36050</f>
        <v>36050</v>
      </c>
      <c r="K115" t="str">
        <f t="shared" si="37"/>
        <v>脚</v>
      </c>
      <c r="L115" t="str">
        <f t="shared" si="42"/>
        <v>4191002</v>
      </c>
      <c r="M115" t="str">
        <f>""</f>
        <v/>
      </c>
    </row>
    <row r="116" spans="1:13" x14ac:dyDescent="0.15">
      <c r="A116" t="str">
        <f t="shared" si="28"/>
        <v>1851110500</v>
      </c>
      <c r="B116" t="str">
        <f t="shared" si="29"/>
        <v>安佐南・区政調整</v>
      </c>
      <c r="C116" t="str">
        <f>"01ﾂ00201"</f>
        <v>01ﾂ00201</v>
      </c>
      <c r="D116" t="str">
        <f>"衝立"</f>
        <v>衝立</v>
      </c>
      <c r="E116" t="str">
        <f>"竹羽目"</f>
        <v>竹羽目</v>
      </c>
      <c r="F116" t="str">
        <f t="shared" si="30"/>
        <v>００６０</v>
      </c>
      <c r="G116" t="str">
        <f>"3590002225"</f>
        <v>3590002225</v>
      </c>
      <c r="H116" t="str">
        <f t="shared" si="35"/>
        <v>001</v>
      </c>
      <c r="I116" t="str">
        <f t="shared" ref="I116:I133" si="43">"4100401"</f>
        <v>4100401</v>
      </c>
      <c r="J116">
        <f>414000</f>
        <v>414000</v>
      </c>
      <c r="K116" t="str">
        <f t="shared" si="37"/>
        <v>脚</v>
      </c>
      <c r="L116" t="str">
        <f>"3600110"</f>
        <v>3600110</v>
      </c>
      <c r="M116" t="str">
        <f>""</f>
        <v/>
      </c>
    </row>
    <row r="117" spans="1:13" x14ac:dyDescent="0.15">
      <c r="A117" t="str">
        <f t="shared" si="28"/>
        <v>1851110500</v>
      </c>
      <c r="B117" t="str">
        <f t="shared" si="29"/>
        <v>安佐南・区政調整</v>
      </c>
      <c r="C117" t="str">
        <f>"01ﾂ00201"</f>
        <v>01ﾂ00201</v>
      </c>
      <c r="D117" t="str">
        <f>"衝立"</f>
        <v>衝立</v>
      </c>
      <c r="E117" t="str">
        <f>"松羽目"</f>
        <v>松羽目</v>
      </c>
      <c r="F117" t="str">
        <f t="shared" si="30"/>
        <v>００６０</v>
      </c>
      <c r="G117" t="str">
        <f>"3590002226"</f>
        <v>3590002226</v>
      </c>
      <c r="H117" t="str">
        <f t="shared" si="35"/>
        <v>001</v>
      </c>
      <c r="I117" t="str">
        <f t="shared" si="43"/>
        <v>4100401</v>
      </c>
      <c r="J117">
        <f>226000</f>
        <v>226000</v>
      </c>
      <c r="K117" t="str">
        <f t="shared" si="37"/>
        <v>脚</v>
      </c>
      <c r="L117" t="str">
        <f>"3600110"</f>
        <v>3600110</v>
      </c>
      <c r="M117" t="str">
        <f>""</f>
        <v/>
      </c>
    </row>
    <row r="118" spans="1:13" x14ac:dyDescent="0.15">
      <c r="A118" t="str">
        <f t="shared" si="28"/>
        <v>1851110500</v>
      </c>
      <c r="B118" t="str">
        <f t="shared" si="29"/>
        <v>安佐南・区政調整</v>
      </c>
      <c r="C118" t="str">
        <f>"01ﾃ00801"</f>
        <v>01ﾃ00801</v>
      </c>
      <c r="D118" t="str">
        <f>"展示板"</f>
        <v>展示板</v>
      </c>
      <c r="E118" t="str">
        <f>"ウチダＳＨ‐４６Ｔ　両面型"</f>
        <v>ウチダＳＨ‐４６Ｔ　両面型</v>
      </c>
      <c r="F118" t="str">
        <f t="shared" si="30"/>
        <v>００６０</v>
      </c>
      <c r="G118" t="str">
        <f>"3590002227"</f>
        <v>3590002227</v>
      </c>
      <c r="H118" t="str">
        <f t="shared" si="35"/>
        <v>001</v>
      </c>
      <c r="I118" t="str">
        <f t="shared" si="43"/>
        <v>4100401</v>
      </c>
      <c r="J118">
        <f>55800</f>
        <v>55800</v>
      </c>
      <c r="K118" t="str">
        <f t="shared" ref="K118:K124" si="44">"枚"</f>
        <v>枚</v>
      </c>
      <c r="L118" t="str">
        <f t="shared" ref="L118:L127" si="45">"3600108"</f>
        <v>3600108</v>
      </c>
      <c r="M118" t="str">
        <f>""</f>
        <v/>
      </c>
    </row>
    <row r="119" spans="1:13" x14ac:dyDescent="0.15">
      <c r="A119" t="str">
        <f t="shared" si="28"/>
        <v>1851110500</v>
      </c>
      <c r="B119" t="str">
        <f t="shared" si="29"/>
        <v>安佐南・区政調整</v>
      </c>
      <c r="C119" t="str">
        <f>"01ﾃ00801"</f>
        <v>01ﾃ00801</v>
      </c>
      <c r="D119" t="str">
        <f>"展示板"</f>
        <v>展示板</v>
      </c>
      <c r="E119" t="str">
        <f>"ウチダＳＨ‐４６Ｔ　両面型"</f>
        <v>ウチダＳＨ‐４６Ｔ　両面型</v>
      </c>
      <c r="F119" t="str">
        <f t="shared" si="30"/>
        <v>００６０</v>
      </c>
      <c r="G119" t="str">
        <f>"3590002228"</f>
        <v>3590002228</v>
      </c>
      <c r="H119" t="str">
        <f t="shared" si="35"/>
        <v>001</v>
      </c>
      <c r="I119" t="str">
        <f t="shared" si="43"/>
        <v>4100401</v>
      </c>
      <c r="J119">
        <f>55800</f>
        <v>55800</v>
      </c>
      <c r="K119" t="str">
        <f t="shared" si="44"/>
        <v>枚</v>
      </c>
      <c r="L119" t="str">
        <f t="shared" si="45"/>
        <v>3600108</v>
      </c>
      <c r="M119" t="str">
        <f>""</f>
        <v/>
      </c>
    </row>
    <row r="120" spans="1:13" x14ac:dyDescent="0.15">
      <c r="A120" t="str">
        <f t="shared" si="28"/>
        <v>1851110500</v>
      </c>
      <c r="B120" t="str">
        <f t="shared" si="29"/>
        <v>安佐南・区政調整</v>
      </c>
      <c r="C120" t="str">
        <f>"01ﾃ00801"</f>
        <v>01ﾃ00801</v>
      </c>
      <c r="D120" t="str">
        <f>"展示板"</f>
        <v>展示板</v>
      </c>
      <c r="E120" t="str">
        <f>"ウチダＳＨ‐４６Ｔ　両面型"</f>
        <v>ウチダＳＨ‐４６Ｔ　両面型</v>
      </c>
      <c r="F120" t="str">
        <f t="shared" si="30"/>
        <v>００６０</v>
      </c>
      <c r="G120" t="str">
        <f>"3590002229"</f>
        <v>3590002229</v>
      </c>
      <c r="H120" t="str">
        <f t="shared" si="35"/>
        <v>001</v>
      </c>
      <c r="I120" t="str">
        <f t="shared" si="43"/>
        <v>4100401</v>
      </c>
      <c r="J120">
        <f>55800</f>
        <v>55800</v>
      </c>
      <c r="K120" t="str">
        <f t="shared" si="44"/>
        <v>枚</v>
      </c>
      <c r="L120" t="str">
        <f t="shared" si="45"/>
        <v>3600108</v>
      </c>
      <c r="M120" t="str">
        <f>""</f>
        <v/>
      </c>
    </row>
    <row r="121" spans="1:13" x14ac:dyDescent="0.15">
      <c r="A121" t="str">
        <f t="shared" si="28"/>
        <v>1851110500</v>
      </c>
      <c r="B121" t="str">
        <f t="shared" si="29"/>
        <v>安佐南・区政調整</v>
      </c>
      <c r="C121" t="str">
        <f>"01ﾃ00801"</f>
        <v>01ﾃ00801</v>
      </c>
      <c r="D121" t="str">
        <f>"展示板"</f>
        <v>展示板</v>
      </c>
      <c r="E121" t="str">
        <f>"ウチダＳＨ‐４６Ｔ　両面型"</f>
        <v>ウチダＳＨ‐４６Ｔ　両面型</v>
      </c>
      <c r="F121" t="str">
        <f t="shared" si="30"/>
        <v>００６０</v>
      </c>
      <c r="G121" t="str">
        <f>"3590002230"</f>
        <v>3590002230</v>
      </c>
      <c r="H121" t="str">
        <f t="shared" si="35"/>
        <v>001</v>
      </c>
      <c r="I121" t="str">
        <f t="shared" si="43"/>
        <v>4100401</v>
      </c>
      <c r="J121">
        <f>55800</f>
        <v>55800</v>
      </c>
      <c r="K121" t="str">
        <f t="shared" si="44"/>
        <v>枚</v>
      </c>
      <c r="L121" t="str">
        <f t="shared" si="45"/>
        <v>3600108</v>
      </c>
      <c r="M121" t="str">
        <f>""</f>
        <v/>
      </c>
    </row>
    <row r="122" spans="1:13" x14ac:dyDescent="0.15">
      <c r="A122" t="str">
        <f t="shared" si="28"/>
        <v>1851110500</v>
      </c>
      <c r="B122" t="str">
        <f t="shared" si="29"/>
        <v>安佐南・区政調整</v>
      </c>
      <c r="C122" t="str">
        <f>"01ﾄ00102"</f>
        <v>01ﾄ00102</v>
      </c>
      <c r="D122" t="str">
        <f>"黒板"</f>
        <v>黒板</v>
      </c>
      <c r="E122" t="str">
        <f>"回転式移動型　１８００×９００"</f>
        <v>回転式移動型　１８００×９００</v>
      </c>
      <c r="F122" t="str">
        <f t="shared" si="30"/>
        <v>００６０</v>
      </c>
      <c r="G122" t="str">
        <f>"3590002231"</f>
        <v>3590002231</v>
      </c>
      <c r="H122" t="str">
        <f t="shared" si="35"/>
        <v>001</v>
      </c>
      <c r="I122" t="str">
        <f t="shared" si="43"/>
        <v>4100401</v>
      </c>
      <c r="J122">
        <f>39900</f>
        <v>39900</v>
      </c>
      <c r="K122" t="str">
        <f t="shared" si="44"/>
        <v>枚</v>
      </c>
      <c r="L122" t="str">
        <f t="shared" si="45"/>
        <v>3600108</v>
      </c>
      <c r="M122" t="str">
        <f>""</f>
        <v/>
      </c>
    </row>
    <row r="123" spans="1:13" x14ac:dyDescent="0.15">
      <c r="A123" t="str">
        <f t="shared" si="28"/>
        <v>1851110500</v>
      </c>
      <c r="B123" t="str">
        <f t="shared" si="29"/>
        <v>安佐南・区政調整</v>
      </c>
      <c r="C123" t="str">
        <f>"01ﾄ00102"</f>
        <v>01ﾄ00102</v>
      </c>
      <c r="D123" t="str">
        <f>"黒板"</f>
        <v>黒板</v>
      </c>
      <c r="E123" t="str">
        <f>"回転式移動型　１８００×９００"</f>
        <v>回転式移動型　１８００×９００</v>
      </c>
      <c r="F123" t="str">
        <f t="shared" si="30"/>
        <v>００６０</v>
      </c>
      <c r="G123" t="str">
        <f>"3590002232"</f>
        <v>3590002232</v>
      </c>
      <c r="H123" t="str">
        <f t="shared" ref="H123:H154" si="46">"001"</f>
        <v>001</v>
      </c>
      <c r="I123" t="str">
        <f t="shared" si="43"/>
        <v>4100401</v>
      </c>
      <c r="J123">
        <f>31000</f>
        <v>31000</v>
      </c>
      <c r="K123" t="str">
        <f t="shared" si="44"/>
        <v>枚</v>
      </c>
      <c r="L123" t="str">
        <f t="shared" si="45"/>
        <v>3600108</v>
      </c>
      <c r="M123" t="str">
        <f>""</f>
        <v/>
      </c>
    </row>
    <row r="124" spans="1:13" x14ac:dyDescent="0.15">
      <c r="A124" t="str">
        <f t="shared" si="28"/>
        <v>1851110500</v>
      </c>
      <c r="B124" t="str">
        <f t="shared" si="29"/>
        <v>安佐南・区政調整</v>
      </c>
      <c r="C124" t="str">
        <f>"01ﾄ00102"</f>
        <v>01ﾄ00102</v>
      </c>
      <c r="D124" t="str">
        <f>"黒板"</f>
        <v>黒板</v>
      </c>
      <c r="E124" t="str">
        <f>"回転式移動型　１８００×９００"</f>
        <v>回転式移動型　１８００×９００</v>
      </c>
      <c r="F124" t="str">
        <f t="shared" si="30"/>
        <v>００６０</v>
      </c>
      <c r="G124" t="str">
        <f>"3590002233"</f>
        <v>3590002233</v>
      </c>
      <c r="H124" t="str">
        <f t="shared" si="46"/>
        <v>001</v>
      </c>
      <c r="I124" t="str">
        <f t="shared" si="43"/>
        <v>4100401</v>
      </c>
      <c r="J124">
        <f>34500</f>
        <v>34500</v>
      </c>
      <c r="K124" t="str">
        <f t="shared" si="44"/>
        <v>枚</v>
      </c>
      <c r="L124" t="str">
        <f t="shared" si="45"/>
        <v>3600108</v>
      </c>
      <c r="M124" t="str">
        <f>""</f>
        <v/>
      </c>
    </row>
    <row r="125" spans="1:13" x14ac:dyDescent="0.15">
      <c r="A125" t="str">
        <f t="shared" si="28"/>
        <v>1851110500</v>
      </c>
      <c r="B125" t="str">
        <f t="shared" si="29"/>
        <v>安佐南・区政調整</v>
      </c>
      <c r="C125" t="str">
        <f>"01ﾄ00501"</f>
        <v>01ﾄ00501</v>
      </c>
      <c r="D125" t="str">
        <f>"戸棚"</f>
        <v>戸棚</v>
      </c>
      <c r="E125" t="str">
        <f>"コクヨＳＧ‐Ｋ８５１"</f>
        <v>コクヨＳＧ‐Ｋ８５１</v>
      </c>
      <c r="F125" t="str">
        <f t="shared" si="30"/>
        <v>００６０</v>
      </c>
      <c r="G125" t="str">
        <f>"3590002234"</f>
        <v>3590002234</v>
      </c>
      <c r="H125" t="str">
        <f t="shared" si="46"/>
        <v>001</v>
      </c>
      <c r="I125" t="str">
        <f t="shared" si="43"/>
        <v>4100401</v>
      </c>
      <c r="J125">
        <f>140500</f>
        <v>140500</v>
      </c>
      <c r="K125" t="str">
        <f t="shared" ref="K125:K133" si="47">"個"</f>
        <v>個</v>
      </c>
      <c r="L125" t="str">
        <f t="shared" si="45"/>
        <v>3600108</v>
      </c>
      <c r="M125" t="str">
        <f>""</f>
        <v/>
      </c>
    </row>
    <row r="126" spans="1:13" x14ac:dyDescent="0.15">
      <c r="A126" t="str">
        <f t="shared" si="28"/>
        <v>1851110500</v>
      </c>
      <c r="B126" t="str">
        <f t="shared" si="29"/>
        <v>安佐南・区政調整</v>
      </c>
      <c r="C126" t="str">
        <f>"01ﾄ00501"</f>
        <v>01ﾄ00501</v>
      </c>
      <c r="D126" t="str">
        <f>"戸棚"</f>
        <v>戸棚</v>
      </c>
      <c r="E126" t="str">
        <f>"コクヨＳＧ‐Ｋ８５２"</f>
        <v>コクヨＳＧ‐Ｋ８５２</v>
      </c>
      <c r="F126" t="str">
        <f t="shared" si="30"/>
        <v>００６０</v>
      </c>
      <c r="G126" t="str">
        <f>"3590002235"</f>
        <v>3590002235</v>
      </c>
      <c r="H126" t="str">
        <f t="shared" si="46"/>
        <v>001</v>
      </c>
      <c r="I126" t="str">
        <f t="shared" si="43"/>
        <v>4100401</v>
      </c>
      <c r="J126">
        <f>171000</f>
        <v>171000</v>
      </c>
      <c r="K126" t="str">
        <f t="shared" si="47"/>
        <v>個</v>
      </c>
      <c r="L126" t="str">
        <f t="shared" si="45"/>
        <v>3600108</v>
      </c>
      <c r="M126" t="str">
        <f>""</f>
        <v/>
      </c>
    </row>
    <row r="127" spans="1:13" x14ac:dyDescent="0.15">
      <c r="A127" t="str">
        <f t="shared" si="28"/>
        <v>1851110500</v>
      </c>
      <c r="B127" t="str">
        <f t="shared" si="29"/>
        <v>安佐南・区政調整</v>
      </c>
      <c r="C127" t="str">
        <f>"01ﾄ00504"</f>
        <v>01ﾄ00504</v>
      </c>
      <c r="D127" t="str">
        <f>"ロッカー"</f>
        <v>ロッカー</v>
      </c>
      <c r="E127" t="str">
        <f>"コクヨＣＬＫ‐６５Ｂ"</f>
        <v>コクヨＣＬＫ‐６５Ｂ</v>
      </c>
      <c r="F127" t="str">
        <f t="shared" si="30"/>
        <v>００６０</v>
      </c>
      <c r="G127" t="str">
        <f>"3590002236"</f>
        <v>3590002236</v>
      </c>
      <c r="H127" t="str">
        <f t="shared" si="46"/>
        <v>001</v>
      </c>
      <c r="I127" t="str">
        <f t="shared" si="43"/>
        <v>4100401</v>
      </c>
      <c r="J127">
        <f>28200</f>
        <v>28200</v>
      </c>
      <c r="K127" t="str">
        <f t="shared" si="47"/>
        <v>個</v>
      </c>
      <c r="L127" t="str">
        <f t="shared" si="45"/>
        <v>3600108</v>
      </c>
      <c r="M127" t="str">
        <f>""</f>
        <v/>
      </c>
    </row>
    <row r="128" spans="1:13" x14ac:dyDescent="0.15">
      <c r="A128" t="str">
        <f t="shared" si="28"/>
        <v>1851110500</v>
      </c>
      <c r="B128" t="str">
        <f t="shared" si="29"/>
        <v>安佐南・区政調整</v>
      </c>
      <c r="C128" t="str">
        <f>"01ﾄ00504"</f>
        <v>01ﾄ00504</v>
      </c>
      <c r="D128" t="str">
        <f>"ロッカー"</f>
        <v>ロッカー</v>
      </c>
      <c r="E128" t="str">
        <f>"コイン式アルファＮＲ‐１６８４Ｗ"</f>
        <v>コイン式アルファＮＲ‐１６８４Ｗ</v>
      </c>
      <c r="F128" t="str">
        <f t="shared" si="30"/>
        <v>００６０</v>
      </c>
      <c r="G128" t="str">
        <f>"3590002237"</f>
        <v>3590002237</v>
      </c>
      <c r="H128" t="str">
        <f t="shared" si="46"/>
        <v>001</v>
      </c>
      <c r="I128" t="str">
        <f t="shared" si="43"/>
        <v>4100401</v>
      </c>
      <c r="J128">
        <f>92000</f>
        <v>92000</v>
      </c>
      <c r="K128" t="str">
        <f t="shared" si="47"/>
        <v>個</v>
      </c>
      <c r="L128" t="str">
        <f>"3600110"</f>
        <v>3600110</v>
      </c>
      <c r="M128" t="str">
        <f>""</f>
        <v/>
      </c>
    </row>
    <row r="129" spans="1:13" x14ac:dyDescent="0.15">
      <c r="A129" t="str">
        <f t="shared" si="28"/>
        <v>1851110500</v>
      </c>
      <c r="B129" t="str">
        <f t="shared" si="29"/>
        <v>安佐南・区政調整</v>
      </c>
      <c r="C129" t="str">
        <f>"01ﾄ00504"</f>
        <v>01ﾄ00504</v>
      </c>
      <c r="D129" t="str">
        <f>"ロッカー"</f>
        <v>ロッカー</v>
      </c>
      <c r="E129" t="str">
        <f>"コイン式アルファＮＲ‐１６８４Ｗ"</f>
        <v>コイン式アルファＮＲ‐１６８４Ｗ</v>
      </c>
      <c r="F129" t="str">
        <f t="shared" si="30"/>
        <v>００６０</v>
      </c>
      <c r="G129" t="str">
        <f>"3590002238"</f>
        <v>3590002238</v>
      </c>
      <c r="H129" t="str">
        <f t="shared" si="46"/>
        <v>001</v>
      </c>
      <c r="I129" t="str">
        <f t="shared" si="43"/>
        <v>4100401</v>
      </c>
      <c r="J129">
        <f>92000</f>
        <v>92000</v>
      </c>
      <c r="K129" t="str">
        <f t="shared" si="47"/>
        <v>個</v>
      </c>
      <c r="L129" t="str">
        <f>"3600110"</f>
        <v>3600110</v>
      </c>
      <c r="M129" t="str">
        <f>""</f>
        <v/>
      </c>
    </row>
    <row r="130" spans="1:13" x14ac:dyDescent="0.15">
      <c r="A130" t="str">
        <f t="shared" ref="A130:A193" si="48">"1851110500"</f>
        <v>1851110500</v>
      </c>
      <c r="B130" t="str">
        <f t="shared" ref="B130:B193" si="49">"安佐南・区政調整"</f>
        <v>安佐南・区政調整</v>
      </c>
      <c r="C130" t="str">
        <f>"01ﾄ00504"</f>
        <v>01ﾄ00504</v>
      </c>
      <c r="D130" t="str">
        <f>"ロッカー"</f>
        <v>ロッカー</v>
      </c>
      <c r="E130" t="str">
        <f>"コイン式アルファＮＲ‐１６８４Ｗ"</f>
        <v>コイン式アルファＮＲ‐１６８４Ｗ</v>
      </c>
      <c r="F130" t="str">
        <f t="shared" ref="F130:F193" si="50">"００６０"</f>
        <v>００６０</v>
      </c>
      <c r="G130" t="str">
        <f>"3590002239"</f>
        <v>3590002239</v>
      </c>
      <c r="H130" t="str">
        <f t="shared" si="46"/>
        <v>001</v>
      </c>
      <c r="I130" t="str">
        <f t="shared" si="43"/>
        <v>4100401</v>
      </c>
      <c r="J130">
        <f>92000</f>
        <v>92000</v>
      </c>
      <c r="K130" t="str">
        <f t="shared" si="47"/>
        <v>個</v>
      </c>
      <c r="L130" t="str">
        <f>"3600110"</f>
        <v>3600110</v>
      </c>
      <c r="M130" t="str">
        <f>""</f>
        <v/>
      </c>
    </row>
    <row r="131" spans="1:13" x14ac:dyDescent="0.15">
      <c r="A131" t="str">
        <f t="shared" si="48"/>
        <v>1851110500</v>
      </c>
      <c r="B131" t="str">
        <f t="shared" si="49"/>
        <v>安佐南・区政調整</v>
      </c>
      <c r="C131" t="str">
        <f>"01ﾄ00504"</f>
        <v>01ﾄ00504</v>
      </c>
      <c r="D131" t="str">
        <f>"ロッカー"</f>
        <v>ロッカー</v>
      </c>
      <c r="E131" t="str">
        <f>"コイン式アルファＮＲ‐１６８４Ｗ"</f>
        <v>コイン式アルファＮＲ‐１６８４Ｗ</v>
      </c>
      <c r="F131" t="str">
        <f t="shared" si="50"/>
        <v>００６０</v>
      </c>
      <c r="G131" t="str">
        <f>"3590002240"</f>
        <v>3590002240</v>
      </c>
      <c r="H131" t="str">
        <f t="shared" si="46"/>
        <v>001</v>
      </c>
      <c r="I131" t="str">
        <f t="shared" si="43"/>
        <v>4100401</v>
      </c>
      <c r="J131">
        <f>92000</f>
        <v>92000</v>
      </c>
      <c r="K131" t="str">
        <f t="shared" si="47"/>
        <v>個</v>
      </c>
      <c r="L131" t="str">
        <f>"3600110"</f>
        <v>3600110</v>
      </c>
      <c r="M131" t="str">
        <f>""</f>
        <v/>
      </c>
    </row>
    <row r="132" spans="1:13" x14ac:dyDescent="0.15">
      <c r="A132" t="str">
        <f t="shared" si="48"/>
        <v>1851110500</v>
      </c>
      <c r="B132" t="str">
        <f t="shared" si="49"/>
        <v>安佐南・区政調整</v>
      </c>
      <c r="C132" t="str">
        <f>"01ﾄ00505"</f>
        <v>01ﾄ00505</v>
      </c>
      <c r="D132" t="str">
        <f>"保管庫"</f>
        <v>保管庫</v>
      </c>
      <c r="E132" t="str">
        <f>"金びょうぶ保管庫"</f>
        <v>金びょうぶ保管庫</v>
      </c>
      <c r="F132" t="str">
        <f t="shared" si="50"/>
        <v>００６０</v>
      </c>
      <c r="G132" t="str">
        <f>"3590002242"</f>
        <v>3590002242</v>
      </c>
      <c r="H132" t="str">
        <f t="shared" si="46"/>
        <v>001</v>
      </c>
      <c r="I132" t="str">
        <f t="shared" si="43"/>
        <v>4100401</v>
      </c>
      <c r="J132">
        <f>220000</f>
        <v>220000</v>
      </c>
      <c r="K132" t="str">
        <f t="shared" si="47"/>
        <v>個</v>
      </c>
      <c r="L132" t="str">
        <f>"3600117"</f>
        <v>3600117</v>
      </c>
      <c r="M132" t="str">
        <f>""</f>
        <v/>
      </c>
    </row>
    <row r="133" spans="1:13" x14ac:dyDescent="0.15">
      <c r="A133" t="str">
        <f t="shared" si="48"/>
        <v>1851110500</v>
      </c>
      <c r="B133" t="str">
        <f t="shared" si="49"/>
        <v>安佐南・区政調整</v>
      </c>
      <c r="C133" t="str">
        <f>"01ﾄ00507"</f>
        <v>01ﾄ00507</v>
      </c>
      <c r="D133" t="str">
        <f>"書類戸棚"</f>
        <v>書類戸棚</v>
      </c>
      <c r="E133" t="str">
        <f>"９０×４５×１１２"</f>
        <v>９０×４５×１１２</v>
      </c>
      <c r="F133" t="str">
        <f t="shared" si="50"/>
        <v>００６０</v>
      </c>
      <c r="G133" t="str">
        <f>"3580002375"</f>
        <v>3580002375</v>
      </c>
      <c r="H133" t="str">
        <f t="shared" si="46"/>
        <v>001</v>
      </c>
      <c r="I133" t="str">
        <f t="shared" si="43"/>
        <v>4100401</v>
      </c>
      <c r="J133">
        <f>31900</f>
        <v>31900</v>
      </c>
      <c r="K133" t="str">
        <f t="shared" si="47"/>
        <v>個</v>
      </c>
      <c r="L133" t="str">
        <f>"3581223"</f>
        <v>3581223</v>
      </c>
      <c r="M133" t="str">
        <f>""</f>
        <v/>
      </c>
    </row>
    <row r="134" spans="1:13" x14ac:dyDescent="0.15">
      <c r="A134" t="str">
        <f t="shared" si="48"/>
        <v>1851110500</v>
      </c>
      <c r="B134" t="str">
        <f t="shared" si="49"/>
        <v>安佐南・区政調整</v>
      </c>
      <c r="C134" t="str">
        <f>"01ﾊ00703"</f>
        <v>01ﾊ00703</v>
      </c>
      <c r="D134" t="str">
        <f>"プリンタ"</f>
        <v>プリンタ</v>
      </c>
      <c r="E134" t="str">
        <f>"ＣＡＮＯＮ　ＩＰＦ６５０"</f>
        <v>ＣＡＮＯＮ　ＩＰＦ６５０</v>
      </c>
      <c r="F134" t="str">
        <f t="shared" si="50"/>
        <v>００６０</v>
      </c>
      <c r="G134" t="str">
        <f>"4230003132"</f>
        <v>4230003132</v>
      </c>
      <c r="H134" t="str">
        <f t="shared" si="46"/>
        <v>001</v>
      </c>
      <c r="I134" t="str">
        <f>"4231104"</f>
        <v>4231104</v>
      </c>
      <c r="J134">
        <f>220500</f>
        <v>220500</v>
      </c>
      <c r="K134" t="str">
        <f>"台"</f>
        <v>台</v>
      </c>
      <c r="L134" t="str">
        <f>"4231104"</f>
        <v>4231104</v>
      </c>
      <c r="M134" t="str">
        <f>""</f>
        <v/>
      </c>
    </row>
    <row r="135" spans="1:13" x14ac:dyDescent="0.15">
      <c r="A135" t="str">
        <f t="shared" si="48"/>
        <v>1851110500</v>
      </c>
      <c r="B135" t="str">
        <f t="shared" si="49"/>
        <v>安佐南・区政調整</v>
      </c>
      <c r="C135" t="str">
        <f t="shared" ref="C135:C148" si="51">"01ﾏ00101"</f>
        <v>01ﾏ00101</v>
      </c>
      <c r="D135" t="str">
        <f t="shared" ref="D135:D148" si="52">"マイクロホンスタンド"</f>
        <v>マイクロホンスタンド</v>
      </c>
      <c r="E135" t="str">
        <f>"床上式　タカサゴＭＦ‐２２ＴＭ"</f>
        <v>床上式　タカサゴＭＦ‐２２ＴＭ</v>
      </c>
      <c r="F135" t="str">
        <f t="shared" si="50"/>
        <v>００６０</v>
      </c>
      <c r="G135" t="str">
        <f>"3590002243"</f>
        <v>3590002243</v>
      </c>
      <c r="H135" t="str">
        <f t="shared" si="46"/>
        <v>001</v>
      </c>
      <c r="I135" t="str">
        <f t="shared" ref="I135:I162" si="53">"4100401"</f>
        <v>4100401</v>
      </c>
      <c r="J135">
        <f>36000</f>
        <v>36000</v>
      </c>
      <c r="K135" t="str">
        <f t="shared" ref="K135:K148" si="54">"個"</f>
        <v>個</v>
      </c>
      <c r="L135" t="str">
        <f t="shared" ref="L135:L144" si="55">"3600108"</f>
        <v>3600108</v>
      </c>
      <c r="M135" t="str">
        <f>""</f>
        <v/>
      </c>
    </row>
    <row r="136" spans="1:13" x14ac:dyDescent="0.15">
      <c r="A136" t="str">
        <f t="shared" si="48"/>
        <v>1851110500</v>
      </c>
      <c r="B136" t="str">
        <f t="shared" si="49"/>
        <v>安佐南・区政調整</v>
      </c>
      <c r="C136" t="str">
        <f t="shared" si="51"/>
        <v>01ﾏ00101</v>
      </c>
      <c r="D136" t="str">
        <f t="shared" si="52"/>
        <v>マイクロホンスタンド</v>
      </c>
      <c r="E136" t="str">
        <f>"床上式　タカサゴＭＦ‐２２ＴＭ"</f>
        <v>床上式　タカサゴＭＦ‐２２ＴＭ</v>
      </c>
      <c r="F136" t="str">
        <f t="shared" si="50"/>
        <v>００６０</v>
      </c>
      <c r="G136" t="str">
        <f>"3590002244"</f>
        <v>3590002244</v>
      </c>
      <c r="H136" t="str">
        <f t="shared" si="46"/>
        <v>001</v>
      </c>
      <c r="I136" t="str">
        <f t="shared" si="53"/>
        <v>4100401</v>
      </c>
      <c r="J136">
        <f>36000</f>
        <v>36000</v>
      </c>
      <c r="K136" t="str">
        <f t="shared" si="54"/>
        <v>個</v>
      </c>
      <c r="L136" t="str">
        <f t="shared" si="55"/>
        <v>3600108</v>
      </c>
      <c r="M136" t="str">
        <f>""</f>
        <v/>
      </c>
    </row>
    <row r="137" spans="1:13" x14ac:dyDescent="0.15">
      <c r="A137" t="str">
        <f t="shared" si="48"/>
        <v>1851110500</v>
      </c>
      <c r="B137" t="str">
        <f t="shared" si="49"/>
        <v>安佐南・区政調整</v>
      </c>
      <c r="C137" t="str">
        <f t="shared" si="51"/>
        <v>01ﾏ00101</v>
      </c>
      <c r="D137" t="str">
        <f t="shared" si="52"/>
        <v>マイクロホンスタンド</v>
      </c>
      <c r="E137" t="str">
        <f>"床上式　タカサゴＭＦ‐２２ＴＭ"</f>
        <v>床上式　タカサゴＭＦ‐２２ＴＭ</v>
      </c>
      <c r="F137" t="str">
        <f t="shared" si="50"/>
        <v>００６０</v>
      </c>
      <c r="G137" t="str">
        <f>"3590002245"</f>
        <v>3590002245</v>
      </c>
      <c r="H137" t="str">
        <f t="shared" si="46"/>
        <v>001</v>
      </c>
      <c r="I137" t="str">
        <f t="shared" si="53"/>
        <v>4100401</v>
      </c>
      <c r="J137">
        <f>36000</f>
        <v>36000</v>
      </c>
      <c r="K137" t="str">
        <f t="shared" si="54"/>
        <v>個</v>
      </c>
      <c r="L137" t="str">
        <f t="shared" si="55"/>
        <v>3600108</v>
      </c>
      <c r="M137" t="str">
        <f>""</f>
        <v/>
      </c>
    </row>
    <row r="138" spans="1:13" x14ac:dyDescent="0.15">
      <c r="A138" t="str">
        <f t="shared" si="48"/>
        <v>1851110500</v>
      </c>
      <c r="B138" t="str">
        <f t="shared" si="49"/>
        <v>安佐南・区政調整</v>
      </c>
      <c r="C138" t="str">
        <f t="shared" si="51"/>
        <v>01ﾏ00101</v>
      </c>
      <c r="D138" t="str">
        <f t="shared" si="52"/>
        <v>マイクロホンスタンド</v>
      </c>
      <c r="E138" t="str">
        <f t="shared" ref="E138:E144" si="56">"床上式　タカサゴＭＦ‐３４Ｔ"</f>
        <v>床上式　タカサゴＭＦ‐３４Ｔ</v>
      </c>
      <c r="F138" t="str">
        <f t="shared" si="50"/>
        <v>００６０</v>
      </c>
      <c r="G138" t="str">
        <f>"3590002246"</f>
        <v>3590002246</v>
      </c>
      <c r="H138" t="str">
        <f t="shared" si="46"/>
        <v>001</v>
      </c>
      <c r="I138" t="str">
        <f t="shared" si="53"/>
        <v>4100401</v>
      </c>
      <c r="J138">
        <f>37000</f>
        <v>37000</v>
      </c>
      <c r="K138" t="str">
        <f t="shared" si="54"/>
        <v>個</v>
      </c>
      <c r="L138" t="str">
        <f t="shared" si="55"/>
        <v>3600108</v>
      </c>
      <c r="M138" t="str">
        <f>""</f>
        <v/>
      </c>
    </row>
    <row r="139" spans="1:13" x14ac:dyDescent="0.15">
      <c r="A139" t="str">
        <f t="shared" si="48"/>
        <v>1851110500</v>
      </c>
      <c r="B139" t="str">
        <f t="shared" si="49"/>
        <v>安佐南・区政調整</v>
      </c>
      <c r="C139" t="str">
        <f t="shared" si="51"/>
        <v>01ﾏ00101</v>
      </c>
      <c r="D139" t="str">
        <f t="shared" si="52"/>
        <v>マイクロホンスタンド</v>
      </c>
      <c r="E139" t="str">
        <f t="shared" si="56"/>
        <v>床上式　タカサゴＭＦ‐３４Ｔ</v>
      </c>
      <c r="F139" t="str">
        <f t="shared" si="50"/>
        <v>００６０</v>
      </c>
      <c r="G139" t="str">
        <f>"3590002247"</f>
        <v>3590002247</v>
      </c>
      <c r="H139" t="str">
        <f t="shared" si="46"/>
        <v>001</v>
      </c>
      <c r="I139" t="str">
        <f t="shared" si="53"/>
        <v>4100401</v>
      </c>
      <c r="J139">
        <f>37000</f>
        <v>37000</v>
      </c>
      <c r="K139" t="str">
        <f t="shared" si="54"/>
        <v>個</v>
      </c>
      <c r="L139" t="str">
        <f t="shared" si="55"/>
        <v>3600108</v>
      </c>
      <c r="M139" t="str">
        <f>""</f>
        <v/>
      </c>
    </row>
    <row r="140" spans="1:13" x14ac:dyDescent="0.15">
      <c r="A140" t="str">
        <f t="shared" si="48"/>
        <v>1851110500</v>
      </c>
      <c r="B140" t="str">
        <f t="shared" si="49"/>
        <v>安佐南・区政調整</v>
      </c>
      <c r="C140" t="str">
        <f t="shared" si="51"/>
        <v>01ﾏ00101</v>
      </c>
      <c r="D140" t="str">
        <f t="shared" si="52"/>
        <v>マイクロホンスタンド</v>
      </c>
      <c r="E140" t="str">
        <f t="shared" si="56"/>
        <v>床上式　タカサゴＭＦ‐３４Ｔ</v>
      </c>
      <c r="F140" t="str">
        <f t="shared" si="50"/>
        <v>００６０</v>
      </c>
      <c r="G140" t="str">
        <f>"3590002248"</f>
        <v>3590002248</v>
      </c>
      <c r="H140" t="str">
        <f t="shared" si="46"/>
        <v>001</v>
      </c>
      <c r="I140" t="str">
        <f t="shared" si="53"/>
        <v>4100401</v>
      </c>
      <c r="J140">
        <f>37000</f>
        <v>37000</v>
      </c>
      <c r="K140" t="str">
        <f t="shared" si="54"/>
        <v>個</v>
      </c>
      <c r="L140" t="str">
        <f t="shared" si="55"/>
        <v>3600108</v>
      </c>
      <c r="M140" t="str">
        <f>""</f>
        <v/>
      </c>
    </row>
    <row r="141" spans="1:13" x14ac:dyDescent="0.15">
      <c r="A141" t="str">
        <f t="shared" si="48"/>
        <v>1851110500</v>
      </c>
      <c r="B141" t="str">
        <f t="shared" si="49"/>
        <v>安佐南・区政調整</v>
      </c>
      <c r="C141" t="str">
        <f t="shared" si="51"/>
        <v>01ﾏ00101</v>
      </c>
      <c r="D141" t="str">
        <f t="shared" si="52"/>
        <v>マイクロホンスタンド</v>
      </c>
      <c r="E141" t="str">
        <f t="shared" si="56"/>
        <v>床上式　タカサゴＭＦ‐３４Ｔ</v>
      </c>
      <c r="F141" t="str">
        <f t="shared" si="50"/>
        <v>００６０</v>
      </c>
      <c r="G141" t="str">
        <f>"3590002249"</f>
        <v>3590002249</v>
      </c>
      <c r="H141" t="str">
        <f t="shared" si="46"/>
        <v>001</v>
      </c>
      <c r="I141" t="str">
        <f t="shared" si="53"/>
        <v>4100401</v>
      </c>
      <c r="J141">
        <f>37000</f>
        <v>37000</v>
      </c>
      <c r="K141" t="str">
        <f t="shared" si="54"/>
        <v>個</v>
      </c>
      <c r="L141" t="str">
        <f t="shared" si="55"/>
        <v>3600108</v>
      </c>
      <c r="M141" t="str">
        <f>""</f>
        <v/>
      </c>
    </row>
    <row r="142" spans="1:13" x14ac:dyDescent="0.15">
      <c r="A142" t="str">
        <f t="shared" si="48"/>
        <v>1851110500</v>
      </c>
      <c r="B142" t="str">
        <f t="shared" si="49"/>
        <v>安佐南・区政調整</v>
      </c>
      <c r="C142" t="str">
        <f t="shared" si="51"/>
        <v>01ﾏ00101</v>
      </c>
      <c r="D142" t="str">
        <f t="shared" si="52"/>
        <v>マイクロホンスタンド</v>
      </c>
      <c r="E142" t="str">
        <f t="shared" si="56"/>
        <v>床上式　タカサゴＭＦ‐３４Ｔ</v>
      </c>
      <c r="F142" t="str">
        <f t="shared" si="50"/>
        <v>００６０</v>
      </c>
      <c r="G142" t="str">
        <f>"3590002250"</f>
        <v>3590002250</v>
      </c>
      <c r="H142" t="str">
        <f t="shared" si="46"/>
        <v>001</v>
      </c>
      <c r="I142" t="str">
        <f t="shared" si="53"/>
        <v>4100401</v>
      </c>
      <c r="J142">
        <f>37000</f>
        <v>37000</v>
      </c>
      <c r="K142" t="str">
        <f t="shared" si="54"/>
        <v>個</v>
      </c>
      <c r="L142" t="str">
        <f t="shared" si="55"/>
        <v>3600108</v>
      </c>
      <c r="M142" t="str">
        <f>""</f>
        <v/>
      </c>
    </row>
    <row r="143" spans="1:13" x14ac:dyDescent="0.15">
      <c r="A143" t="str">
        <f t="shared" si="48"/>
        <v>1851110500</v>
      </c>
      <c r="B143" t="str">
        <f t="shared" si="49"/>
        <v>安佐南・区政調整</v>
      </c>
      <c r="C143" t="str">
        <f t="shared" si="51"/>
        <v>01ﾏ00101</v>
      </c>
      <c r="D143" t="str">
        <f t="shared" si="52"/>
        <v>マイクロホンスタンド</v>
      </c>
      <c r="E143" t="str">
        <f t="shared" si="56"/>
        <v>床上式　タカサゴＭＦ‐３４Ｔ</v>
      </c>
      <c r="F143" t="str">
        <f t="shared" si="50"/>
        <v>００６０</v>
      </c>
      <c r="G143" t="str">
        <f>"3590002251"</f>
        <v>3590002251</v>
      </c>
      <c r="H143" t="str">
        <f t="shared" si="46"/>
        <v>001</v>
      </c>
      <c r="I143" t="str">
        <f t="shared" si="53"/>
        <v>4100401</v>
      </c>
      <c r="J143">
        <f>37000</f>
        <v>37000</v>
      </c>
      <c r="K143" t="str">
        <f t="shared" si="54"/>
        <v>個</v>
      </c>
      <c r="L143" t="str">
        <f t="shared" si="55"/>
        <v>3600108</v>
      </c>
      <c r="M143" t="str">
        <f>""</f>
        <v/>
      </c>
    </row>
    <row r="144" spans="1:13" x14ac:dyDescent="0.15">
      <c r="A144" t="str">
        <f t="shared" si="48"/>
        <v>1851110500</v>
      </c>
      <c r="B144" t="str">
        <f t="shared" si="49"/>
        <v>安佐南・区政調整</v>
      </c>
      <c r="C144" t="str">
        <f t="shared" si="51"/>
        <v>01ﾏ00101</v>
      </c>
      <c r="D144" t="str">
        <f t="shared" si="52"/>
        <v>マイクロホンスタンド</v>
      </c>
      <c r="E144" t="str">
        <f t="shared" si="56"/>
        <v>床上式　タカサゴＭＦ‐３４Ｔ</v>
      </c>
      <c r="F144" t="str">
        <f t="shared" si="50"/>
        <v>００６０</v>
      </c>
      <c r="G144" t="str">
        <f>"3590002252"</f>
        <v>3590002252</v>
      </c>
      <c r="H144" t="str">
        <f t="shared" si="46"/>
        <v>001</v>
      </c>
      <c r="I144" t="str">
        <f t="shared" si="53"/>
        <v>4100401</v>
      </c>
      <c r="J144">
        <f>37000</f>
        <v>37000</v>
      </c>
      <c r="K144" t="str">
        <f t="shared" si="54"/>
        <v>個</v>
      </c>
      <c r="L144" t="str">
        <f t="shared" si="55"/>
        <v>3600108</v>
      </c>
      <c r="M144" t="str">
        <f>""</f>
        <v/>
      </c>
    </row>
    <row r="145" spans="1:13" x14ac:dyDescent="0.15">
      <c r="A145" t="str">
        <f t="shared" si="48"/>
        <v>1851110500</v>
      </c>
      <c r="B145" t="str">
        <f t="shared" si="49"/>
        <v>安佐南・区政調整</v>
      </c>
      <c r="C145" t="str">
        <f t="shared" si="51"/>
        <v>01ﾏ00101</v>
      </c>
      <c r="D145" t="str">
        <f t="shared" si="52"/>
        <v>マイクロホンスタンド</v>
      </c>
      <c r="E145" t="str">
        <f>"高砂ＭＦ－１８ＴＭ"</f>
        <v>高砂ＭＦ－１８ＴＭ</v>
      </c>
      <c r="F145" t="str">
        <f t="shared" si="50"/>
        <v>００６０</v>
      </c>
      <c r="G145" t="str">
        <f>"4070002960"</f>
        <v>4070002960</v>
      </c>
      <c r="H145" t="str">
        <f t="shared" si="46"/>
        <v>001</v>
      </c>
      <c r="I145" t="str">
        <f t="shared" si="53"/>
        <v>4100401</v>
      </c>
      <c r="J145">
        <f>43260</f>
        <v>43260</v>
      </c>
      <c r="K145" t="str">
        <f t="shared" si="54"/>
        <v>個</v>
      </c>
      <c r="L145" t="str">
        <f>"4070619"</f>
        <v>4070619</v>
      </c>
      <c r="M145" t="str">
        <f>"4070619"</f>
        <v>4070619</v>
      </c>
    </row>
    <row r="146" spans="1:13" x14ac:dyDescent="0.15">
      <c r="A146" t="str">
        <f t="shared" si="48"/>
        <v>1851110500</v>
      </c>
      <c r="B146" t="str">
        <f t="shared" si="49"/>
        <v>安佐南・区政調整</v>
      </c>
      <c r="C146" t="str">
        <f t="shared" si="51"/>
        <v>01ﾏ00101</v>
      </c>
      <c r="D146" t="str">
        <f t="shared" si="52"/>
        <v>マイクロホンスタンド</v>
      </c>
      <c r="E146" t="str">
        <f>"高砂ＭＦ－１８ＴＭ"</f>
        <v>高砂ＭＦ－１８ＴＭ</v>
      </c>
      <c r="F146" t="str">
        <f t="shared" si="50"/>
        <v>００６０</v>
      </c>
      <c r="G146" t="str">
        <f>"4070002961"</f>
        <v>4070002961</v>
      </c>
      <c r="H146" t="str">
        <f t="shared" si="46"/>
        <v>001</v>
      </c>
      <c r="I146" t="str">
        <f t="shared" si="53"/>
        <v>4100401</v>
      </c>
      <c r="J146">
        <f>43260</f>
        <v>43260</v>
      </c>
      <c r="K146" t="str">
        <f t="shared" si="54"/>
        <v>個</v>
      </c>
      <c r="L146" t="str">
        <f>"4080326"</f>
        <v>4080326</v>
      </c>
      <c r="M146" t="str">
        <f>"4080326"</f>
        <v>4080326</v>
      </c>
    </row>
    <row r="147" spans="1:13" x14ac:dyDescent="0.15">
      <c r="A147" t="str">
        <f t="shared" si="48"/>
        <v>1851110500</v>
      </c>
      <c r="B147" t="str">
        <f t="shared" si="49"/>
        <v>安佐南・区政調整</v>
      </c>
      <c r="C147" t="str">
        <f t="shared" si="51"/>
        <v>01ﾏ00101</v>
      </c>
      <c r="D147" t="str">
        <f t="shared" si="52"/>
        <v>マイクロホンスタンド</v>
      </c>
      <c r="E147" t="str">
        <f>"高砂ＭＦ－１８ＴＭ"</f>
        <v>高砂ＭＦ－１８ＴＭ</v>
      </c>
      <c r="F147" t="str">
        <f t="shared" si="50"/>
        <v>００６０</v>
      </c>
      <c r="G147" t="str">
        <f>"4070002962"</f>
        <v>4070002962</v>
      </c>
      <c r="H147" t="str">
        <f t="shared" si="46"/>
        <v>001</v>
      </c>
      <c r="I147" t="str">
        <f t="shared" si="53"/>
        <v>4100401</v>
      </c>
      <c r="J147">
        <f>43260</f>
        <v>43260</v>
      </c>
      <c r="K147" t="str">
        <f t="shared" si="54"/>
        <v>個</v>
      </c>
      <c r="L147" t="str">
        <f>"4080326"</f>
        <v>4080326</v>
      </c>
      <c r="M147" t="str">
        <f>"4080326"</f>
        <v>4080326</v>
      </c>
    </row>
    <row r="148" spans="1:13" x14ac:dyDescent="0.15">
      <c r="A148" t="str">
        <f t="shared" si="48"/>
        <v>1851110500</v>
      </c>
      <c r="B148" t="str">
        <f t="shared" si="49"/>
        <v>安佐南・区政調整</v>
      </c>
      <c r="C148" t="str">
        <f t="shared" si="51"/>
        <v>01ﾏ00101</v>
      </c>
      <c r="D148" t="str">
        <f t="shared" si="52"/>
        <v>マイクロホンスタンド</v>
      </c>
      <c r="E148" t="str">
        <f>"高砂ＭＦ－１８ＴＭ"</f>
        <v>高砂ＭＦ－１８ＴＭ</v>
      </c>
      <c r="F148" t="str">
        <f t="shared" si="50"/>
        <v>００６０</v>
      </c>
      <c r="G148" t="str">
        <f>"4070002963"</f>
        <v>4070002963</v>
      </c>
      <c r="H148" t="str">
        <f t="shared" si="46"/>
        <v>001</v>
      </c>
      <c r="I148" t="str">
        <f t="shared" si="53"/>
        <v>4100401</v>
      </c>
      <c r="J148">
        <f>43260</f>
        <v>43260</v>
      </c>
      <c r="K148" t="str">
        <f t="shared" si="54"/>
        <v>個</v>
      </c>
      <c r="L148" t="str">
        <f>"4080326"</f>
        <v>4080326</v>
      </c>
      <c r="M148" t="str">
        <f>"4080326"</f>
        <v>4080326</v>
      </c>
    </row>
    <row r="149" spans="1:13" x14ac:dyDescent="0.15">
      <c r="A149" t="str">
        <f t="shared" si="48"/>
        <v>1851110500</v>
      </c>
      <c r="B149" t="str">
        <f t="shared" si="49"/>
        <v>安佐南・区政調整</v>
      </c>
      <c r="C149" t="str">
        <f t="shared" ref="C149:C155" si="57">"02ｷ00701"</f>
        <v>02ｷ00701</v>
      </c>
      <c r="D149" t="str">
        <f t="shared" ref="D149:D155" si="58">"金工具セット"</f>
        <v>金工具セット</v>
      </c>
      <c r="E149" t="str">
        <f t="shared" ref="E149:E155" si="59">"彫金工具ウチダＢ‐３０"</f>
        <v>彫金工具ウチダＢ‐３０</v>
      </c>
      <c r="F149" t="str">
        <f t="shared" si="50"/>
        <v>００６０</v>
      </c>
      <c r="G149" t="str">
        <f>"3590002253"</f>
        <v>3590002253</v>
      </c>
      <c r="H149" t="str">
        <f t="shared" si="46"/>
        <v>001</v>
      </c>
      <c r="I149" t="str">
        <f t="shared" si="53"/>
        <v>4100401</v>
      </c>
      <c r="J149">
        <f>21000</f>
        <v>21000</v>
      </c>
      <c r="K149" t="str">
        <f t="shared" ref="K149:K155" si="60">"組"</f>
        <v>組</v>
      </c>
      <c r="L149" t="str">
        <f t="shared" ref="L149:L155" si="61">"3600108"</f>
        <v>3600108</v>
      </c>
      <c r="M149" t="str">
        <f>""</f>
        <v/>
      </c>
    </row>
    <row r="150" spans="1:13" x14ac:dyDescent="0.15">
      <c r="A150" t="str">
        <f t="shared" si="48"/>
        <v>1851110500</v>
      </c>
      <c r="B150" t="str">
        <f t="shared" si="49"/>
        <v>安佐南・区政調整</v>
      </c>
      <c r="C150" t="str">
        <f t="shared" si="57"/>
        <v>02ｷ00701</v>
      </c>
      <c r="D150" t="str">
        <f t="shared" si="58"/>
        <v>金工具セット</v>
      </c>
      <c r="E150" t="str">
        <f t="shared" si="59"/>
        <v>彫金工具ウチダＢ‐３０</v>
      </c>
      <c r="F150" t="str">
        <f t="shared" si="50"/>
        <v>００６０</v>
      </c>
      <c r="G150" t="str">
        <f>"3590002254"</f>
        <v>3590002254</v>
      </c>
      <c r="H150" t="str">
        <f t="shared" si="46"/>
        <v>001</v>
      </c>
      <c r="I150" t="str">
        <f t="shared" si="53"/>
        <v>4100401</v>
      </c>
      <c r="J150">
        <f>21000</f>
        <v>21000</v>
      </c>
      <c r="K150" t="str">
        <f t="shared" si="60"/>
        <v>組</v>
      </c>
      <c r="L150" t="str">
        <f t="shared" si="61"/>
        <v>3600108</v>
      </c>
      <c r="M150" t="str">
        <f>""</f>
        <v/>
      </c>
    </row>
    <row r="151" spans="1:13" x14ac:dyDescent="0.15">
      <c r="A151" t="str">
        <f t="shared" si="48"/>
        <v>1851110500</v>
      </c>
      <c r="B151" t="str">
        <f t="shared" si="49"/>
        <v>安佐南・区政調整</v>
      </c>
      <c r="C151" t="str">
        <f t="shared" si="57"/>
        <v>02ｷ00701</v>
      </c>
      <c r="D151" t="str">
        <f t="shared" si="58"/>
        <v>金工具セット</v>
      </c>
      <c r="E151" t="str">
        <f t="shared" si="59"/>
        <v>彫金工具ウチダＢ‐３０</v>
      </c>
      <c r="F151" t="str">
        <f t="shared" si="50"/>
        <v>００６０</v>
      </c>
      <c r="G151" t="str">
        <f>"3590002255"</f>
        <v>3590002255</v>
      </c>
      <c r="H151" t="str">
        <f t="shared" si="46"/>
        <v>001</v>
      </c>
      <c r="I151" t="str">
        <f t="shared" si="53"/>
        <v>4100401</v>
      </c>
      <c r="J151">
        <f>21000</f>
        <v>21000</v>
      </c>
      <c r="K151" t="str">
        <f t="shared" si="60"/>
        <v>組</v>
      </c>
      <c r="L151" t="str">
        <f t="shared" si="61"/>
        <v>3600108</v>
      </c>
      <c r="M151" t="str">
        <f>""</f>
        <v/>
      </c>
    </row>
    <row r="152" spans="1:13" x14ac:dyDescent="0.15">
      <c r="A152" t="str">
        <f t="shared" si="48"/>
        <v>1851110500</v>
      </c>
      <c r="B152" t="str">
        <f t="shared" si="49"/>
        <v>安佐南・区政調整</v>
      </c>
      <c r="C152" t="str">
        <f t="shared" si="57"/>
        <v>02ｷ00701</v>
      </c>
      <c r="D152" t="str">
        <f t="shared" si="58"/>
        <v>金工具セット</v>
      </c>
      <c r="E152" t="str">
        <f t="shared" si="59"/>
        <v>彫金工具ウチダＢ‐３０</v>
      </c>
      <c r="F152" t="str">
        <f t="shared" si="50"/>
        <v>００６０</v>
      </c>
      <c r="G152" t="str">
        <f>"3590002256"</f>
        <v>3590002256</v>
      </c>
      <c r="H152" t="str">
        <f t="shared" si="46"/>
        <v>001</v>
      </c>
      <c r="I152" t="str">
        <f t="shared" si="53"/>
        <v>4100401</v>
      </c>
      <c r="J152">
        <f>21000</f>
        <v>21000</v>
      </c>
      <c r="K152" t="str">
        <f t="shared" si="60"/>
        <v>組</v>
      </c>
      <c r="L152" t="str">
        <f t="shared" si="61"/>
        <v>3600108</v>
      </c>
      <c r="M152" t="str">
        <f>""</f>
        <v/>
      </c>
    </row>
    <row r="153" spans="1:13" x14ac:dyDescent="0.15">
      <c r="A153" t="str">
        <f t="shared" si="48"/>
        <v>1851110500</v>
      </c>
      <c r="B153" t="str">
        <f t="shared" si="49"/>
        <v>安佐南・区政調整</v>
      </c>
      <c r="C153" t="str">
        <f t="shared" si="57"/>
        <v>02ｷ00701</v>
      </c>
      <c r="D153" t="str">
        <f t="shared" si="58"/>
        <v>金工具セット</v>
      </c>
      <c r="E153" t="str">
        <f t="shared" si="59"/>
        <v>彫金工具ウチダＢ‐３０</v>
      </c>
      <c r="F153" t="str">
        <f t="shared" si="50"/>
        <v>００６０</v>
      </c>
      <c r="G153" t="str">
        <f>"3590002257"</f>
        <v>3590002257</v>
      </c>
      <c r="H153" t="str">
        <f t="shared" si="46"/>
        <v>001</v>
      </c>
      <c r="I153" t="str">
        <f t="shared" si="53"/>
        <v>4100401</v>
      </c>
      <c r="J153">
        <f>21000</f>
        <v>21000</v>
      </c>
      <c r="K153" t="str">
        <f t="shared" si="60"/>
        <v>組</v>
      </c>
      <c r="L153" t="str">
        <f t="shared" si="61"/>
        <v>3600108</v>
      </c>
      <c r="M153" t="str">
        <f>""</f>
        <v/>
      </c>
    </row>
    <row r="154" spans="1:13" x14ac:dyDescent="0.15">
      <c r="A154" t="str">
        <f t="shared" si="48"/>
        <v>1851110500</v>
      </c>
      <c r="B154" t="str">
        <f t="shared" si="49"/>
        <v>安佐南・区政調整</v>
      </c>
      <c r="C154" t="str">
        <f t="shared" si="57"/>
        <v>02ｷ00701</v>
      </c>
      <c r="D154" t="str">
        <f t="shared" si="58"/>
        <v>金工具セット</v>
      </c>
      <c r="E154" t="str">
        <f t="shared" si="59"/>
        <v>彫金工具ウチダＢ‐３０</v>
      </c>
      <c r="F154" t="str">
        <f t="shared" si="50"/>
        <v>００６０</v>
      </c>
      <c r="G154" t="str">
        <f>"3590002258"</f>
        <v>3590002258</v>
      </c>
      <c r="H154" t="str">
        <f t="shared" si="46"/>
        <v>001</v>
      </c>
      <c r="I154" t="str">
        <f t="shared" si="53"/>
        <v>4100401</v>
      </c>
      <c r="J154">
        <f>21000</f>
        <v>21000</v>
      </c>
      <c r="K154" t="str">
        <f t="shared" si="60"/>
        <v>組</v>
      </c>
      <c r="L154" t="str">
        <f t="shared" si="61"/>
        <v>3600108</v>
      </c>
      <c r="M154" t="str">
        <f>""</f>
        <v/>
      </c>
    </row>
    <row r="155" spans="1:13" x14ac:dyDescent="0.15">
      <c r="A155" t="str">
        <f t="shared" si="48"/>
        <v>1851110500</v>
      </c>
      <c r="B155" t="str">
        <f t="shared" si="49"/>
        <v>安佐南・区政調整</v>
      </c>
      <c r="C155" t="str">
        <f t="shared" si="57"/>
        <v>02ｷ00701</v>
      </c>
      <c r="D155" t="str">
        <f t="shared" si="58"/>
        <v>金工具セット</v>
      </c>
      <c r="E155" t="str">
        <f t="shared" si="59"/>
        <v>彫金工具ウチダＢ‐３０</v>
      </c>
      <c r="F155" t="str">
        <f t="shared" si="50"/>
        <v>００６０</v>
      </c>
      <c r="G155" t="str">
        <f>"3590002259"</f>
        <v>3590002259</v>
      </c>
      <c r="H155" t="str">
        <f t="shared" ref="H155:H186" si="62">"001"</f>
        <v>001</v>
      </c>
      <c r="I155" t="str">
        <f t="shared" si="53"/>
        <v>4100401</v>
      </c>
      <c r="J155">
        <f>21000</f>
        <v>21000</v>
      </c>
      <c r="K155" t="str">
        <f t="shared" si="60"/>
        <v>組</v>
      </c>
      <c r="L155" t="str">
        <f t="shared" si="61"/>
        <v>3600108</v>
      </c>
      <c r="M155" t="str">
        <f>""</f>
        <v/>
      </c>
    </row>
    <row r="156" spans="1:13" x14ac:dyDescent="0.15">
      <c r="A156" t="str">
        <f t="shared" si="48"/>
        <v>1851110500</v>
      </c>
      <c r="B156" t="str">
        <f t="shared" si="49"/>
        <v>安佐南・区政調整</v>
      </c>
      <c r="C156" t="str">
        <f>"02ﾀ00601"</f>
        <v>02ﾀ00601</v>
      </c>
      <c r="D156" t="str">
        <f>"作業台"</f>
        <v>作業台</v>
      </c>
      <c r="E156" t="str">
        <f>"テレスコープタイプ"</f>
        <v>テレスコープタイプ</v>
      </c>
      <c r="F156" t="str">
        <f t="shared" si="50"/>
        <v>００６０</v>
      </c>
      <c r="G156" t="str">
        <f>"3630008169"</f>
        <v>3630008169</v>
      </c>
      <c r="H156" t="str">
        <f t="shared" si="62"/>
        <v>001</v>
      </c>
      <c r="I156" t="str">
        <f t="shared" si="53"/>
        <v>4100401</v>
      </c>
      <c r="J156">
        <f>416000</f>
        <v>416000</v>
      </c>
      <c r="K156" t="str">
        <f>"台"</f>
        <v>台</v>
      </c>
      <c r="L156" t="str">
        <f>"4010318"</f>
        <v>4010318</v>
      </c>
      <c r="M156" t="str">
        <f>""</f>
        <v/>
      </c>
    </row>
    <row r="157" spans="1:13" x14ac:dyDescent="0.15">
      <c r="A157" t="str">
        <f t="shared" si="48"/>
        <v>1851110500</v>
      </c>
      <c r="B157" t="str">
        <f t="shared" si="49"/>
        <v>安佐南・区政調整</v>
      </c>
      <c r="C157" t="str">
        <f>"02ﾉ00404"</f>
        <v>02ﾉ00404</v>
      </c>
      <c r="D157" t="str">
        <f>"糸鋸機"</f>
        <v>糸鋸機</v>
      </c>
      <c r="E157" t="str">
        <f>"卓上型ウチダ電動ＡＡ‐５０"</f>
        <v>卓上型ウチダ電動ＡＡ‐５０</v>
      </c>
      <c r="F157" t="str">
        <f t="shared" si="50"/>
        <v>００６０</v>
      </c>
      <c r="G157" t="str">
        <f>"3590002260"</f>
        <v>3590002260</v>
      </c>
      <c r="H157" t="str">
        <f t="shared" si="62"/>
        <v>001</v>
      </c>
      <c r="I157" t="str">
        <f t="shared" si="53"/>
        <v>4100401</v>
      </c>
      <c r="J157">
        <f>55000</f>
        <v>55000</v>
      </c>
      <c r="K157" t="str">
        <f>"台"</f>
        <v>台</v>
      </c>
      <c r="L157" t="str">
        <f>"3600108"</f>
        <v>3600108</v>
      </c>
      <c r="M157" t="str">
        <f>""</f>
        <v/>
      </c>
    </row>
    <row r="158" spans="1:13" x14ac:dyDescent="0.15">
      <c r="A158" t="str">
        <f t="shared" si="48"/>
        <v>1851110500</v>
      </c>
      <c r="B158" t="str">
        <f t="shared" si="49"/>
        <v>安佐南・区政調整</v>
      </c>
      <c r="C158" t="str">
        <f>"02ﾓ00201"</f>
        <v>02ﾓ00201</v>
      </c>
      <c r="D158" t="str">
        <f>"木工セット"</f>
        <v>木工セット</v>
      </c>
      <c r="E158" t="str">
        <f>"ウチダＨＡ‐５Ａ"</f>
        <v>ウチダＨＡ‐５Ａ</v>
      </c>
      <c r="F158" t="str">
        <f t="shared" si="50"/>
        <v>００６０</v>
      </c>
      <c r="G158" t="str">
        <f>"3590002261"</f>
        <v>3590002261</v>
      </c>
      <c r="H158" t="str">
        <f t="shared" si="62"/>
        <v>001</v>
      </c>
      <c r="I158" t="str">
        <f t="shared" si="53"/>
        <v>4100401</v>
      </c>
      <c r="J158">
        <f>47000</f>
        <v>47000</v>
      </c>
      <c r="K158" t="str">
        <f>"組"</f>
        <v>組</v>
      </c>
      <c r="L158" t="str">
        <f>"3600108"</f>
        <v>3600108</v>
      </c>
      <c r="M158" t="str">
        <f>""</f>
        <v/>
      </c>
    </row>
    <row r="159" spans="1:13" x14ac:dyDescent="0.15">
      <c r="A159" t="str">
        <f t="shared" si="48"/>
        <v>1851110500</v>
      </c>
      <c r="B159" t="str">
        <f t="shared" si="49"/>
        <v>安佐南・区政調整</v>
      </c>
      <c r="C159" t="str">
        <f>"02ﾓ00201"</f>
        <v>02ﾓ00201</v>
      </c>
      <c r="D159" t="str">
        <f>"木工セット"</f>
        <v>木工セット</v>
      </c>
      <c r="E159" t="str">
        <f>"ウチダＨＡ‐５Ａ"</f>
        <v>ウチダＨＡ‐５Ａ</v>
      </c>
      <c r="F159" t="str">
        <f t="shared" si="50"/>
        <v>００６０</v>
      </c>
      <c r="G159" t="str">
        <f>"3590002262"</f>
        <v>3590002262</v>
      </c>
      <c r="H159" t="str">
        <f t="shared" si="62"/>
        <v>001</v>
      </c>
      <c r="I159" t="str">
        <f t="shared" si="53"/>
        <v>4100401</v>
      </c>
      <c r="J159">
        <f>47000</f>
        <v>47000</v>
      </c>
      <c r="K159" t="str">
        <f>"組"</f>
        <v>組</v>
      </c>
      <c r="L159" t="str">
        <f>"3600108"</f>
        <v>3600108</v>
      </c>
      <c r="M159" t="str">
        <f>""</f>
        <v/>
      </c>
    </row>
    <row r="160" spans="1:13" x14ac:dyDescent="0.15">
      <c r="A160" t="str">
        <f t="shared" si="48"/>
        <v>1851110500</v>
      </c>
      <c r="B160" t="str">
        <f t="shared" si="49"/>
        <v>安佐南・区政調整</v>
      </c>
      <c r="C160" t="str">
        <f>"02ﾓ00201"</f>
        <v>02ﾓ00201</v>
      </c>
      <c r="D160" t="str">
        <f>"木工セット"</f>
        <v>木工セット</v>
      </c>
      <c r="E160" t="str">
        <f>"ウチダＨＡ‐５Ａ"</f>
        <v>ウチダＨＡ‐５Ａ</v>
      </c>
      <c r="F160" t="str">
        <f t="shared" si="50"/>
        <v>００６０</v>
      </c>
      <c r="G160" t="str">
        <f>"3590002263"</f>
        <v>3590002263</v>
      </c>
      <c r="H160" t="str">
        <f t="shared" si="62"/>
        <v>001</v>
      </c>
      <c r="I160" t="str">
        <f t="shared" si="53"/>
        <v>4100401</v>
      </c>
      <c r="J160">
        <f>47000</f>
        <v>47000</v>
      </c>
      <c r="K160" t="str">
        <f>"組"</f>
        <v>組</v>
      </c>
      <c r="L160" t="str">
        <f>"3600108"</f>
        <v>3600108</v>
      </c>
      <c r="M160" t="str">
        <f>""</f>
        <v/>
      </c>
    </row>
    <row r="161" spans="1:13" x14ac:dyDescent="0.15">
      <c r="A161" t="str">
        <f t="shared" si="48"/>
        <v>1851110500</v>
      </c>
      <c r="B161" t="str">
        <f t="shared" si="49"/>
        <v>安佐南・区政調整</v>
      </c>
      <c r="C161" t="str">
        <f>"03ｴ00101"</f>
        <v>03ｴ00101</v>
      </c>
      <c r="D161" t="str">
        <f>"映写機"</f>
        <v>映写機</v>
      </c>
      <c r="E161" t="str">
        <f>"エルモ５５２ＸＥＮＯＮ"</f>
        <v>エルモ５５２ＸＥＮＯＮ</v>
      </c>
      <c r="F161" t="str">
        <f t="shared" si="50"/>
        <v>００６０</v>
      </c>
      <c r="G161" t="str">
        <f>"3590002264"</f>
        <v>3590002264</v>
      </c>
      <c r="H161" t="str">
        <f t="shared" si="62"/>
        <v>001</v>
      </c>
      <c r="I161" t="str">
        <f t="shared" si="53"/>
        <v>4100401</v>
      </c>
      <c r="J161">
        <f>735000</f>
        <v>735000</v>
      </c>
      <c r="K161" t="str">
        <f>"台"</f>
        <v>台</v>
      </c>
      <c r="L161" t="str">
        <f>"3600110"</f>
        <v>3600110</v>
      </c>
      <c r="M161" t="str">
        <f>""</f>
        <v/>
      </c>
    </row>
    <row r="162" spans="1:13" x14ac:dyDescent="0.15">
      <c r="A162" t="str">
        <f t="shared" si="48"/>
        <v>1851110500</v>
      </c>
      <c r="B162" t="str">
        <f t="shared" si="49"/>
        <v>安佐南・区政調整</v>
      </c>
      <c r="C162" t="str">
        <f>"03ｴ00101"</f>
        <v>03ｴ00101</v>
      </c>
      <c r="D162" t="str">
        <f>"映写機"</f>
        <v>映写機</v>
      </c>
      <c r="E162" t="str">
        <f>"３５ｍ／ｍ・１６ｍ／ｍ兼用"</f>
        <v>３５ｍ／ｍ・１６ｍ／ｍ兼用</v>
      </c>
      <c r="F162" t="str">
        <f t="shared" si="50"/>
        <v>００６０</v>
      </c>
      <c r="G162" t="str">
        <f>"3590002265"</f>
        <v>3590002265</v>
      </c>
      <c r="H162" t="str">
        <f t="shared" si="62"/>
        <v>001</v>
      </c>
      <c r="I162" t="str">
        <f t="shared" si="53"/>
        <v>4100401</v>
      </c>
      <c r="J162">
        <f>7247000</f>
        <v>7247000</v>
      </c>
      <c r="K162" t="str">
        <f>"台"</f>
        <v>台</v>
      </c>
      <c r="L162" t="str">
        <f>"3600128"</f>
        <v>3600128</v>
      </c>
      <c r="M162" t="str">
        <f>""</f>
        <v/>
      </c>
    </row>
    <row r="163" spans="1:13" x14ac:dyDescent="0.15">
      <c r="A163" t="str">
        <f t="shared" si="48"/>
        <v>1851110500</v>
      </c>
      <c r="B163" t="str">
        <f t="shared" si="49"/>
        <v>安佐南・区政調整</v>
      </c>
      <c r="C163" t="str">
        <f>"03ｴ00101"</f>
        <v>03ｴ00101</v>
      </c>
      <c r="D163" t="str">
        <f>"映写機"</f>
        <v>映写機</v>
      </c>
      <c r="E163" t="str">
        <f>"エプソン　ＥＬＰ－７６００"</f>
        <v>エプソン　ＥＬＰ－７６００</v>
      </c>
      <c r="F163" t="str">
        <f t="shared" si="50"/>
        <v>００６０</v>
      </c>
      <c r="G163" t="str">
        <f>"4120004174"</f>
        <v>4120004174</v>
      </c>
      <c r="H163" t="str">
        <f t="shared" si="62"/>
        <v>001</v>
      </c>
      <c r="I163" t="str">
        <f>"4130330"</f>
        <v>4130330</v>
      </c>
      <c r="J163">
        <f>552000</f>
        <v>552000</v>
      </c>
      <c r="K163" t="str">
        <f>"台"</f>
        <v>台</v>
      </c>
      <c r="L163" t="str">
        <f>"4130330"</f>
        <v>4130330</v>
      </c>
      <c r="M163" t="str">
        <f>"4130330"</f>
        <v>4130330</v>
      </c>
    </row>
    <row r="164" spans="1:13" x14ac:dyDescent="0.15">
      <c r="A164" t="str">
        <f t="shared" si="48"/>
        <v>1851110500</v>
      </c>
      <c r="B164" t="str">
        <f t="shared" si="49"/>
        <v>安佐南・区政調整</v>
      </c>
      <c r="C164" t="str">
        <f>"03ｴ00301"</f>
        <v>03ｴ00301</v>
      </c>
      <c r="D164" t="str">
        <f>"映写スクリーン"</f>
        <v>映写スクリーン</v>
      </c>
      <c r="E164" t="str">
        <f>"１７００×２８５×２００５　　ポール式"</f>
        <v>１７００×２８５×２００５　　ポール式</v>
      </c>
      <c r="F164" t="str">
        <f t="shared" si="50"/>
        <v>００６０</v>
      </c>
      <c r="G164" t="str">
        <f>"4250001433"</f>
        <v>4250001433</v>
      </c>
      <c r="H164" t="str">
        <f t="shared" si="62"/>
        <v>001</v>
      </c>
      <c r="I164" t="str">
        <f>"4251008"</f>
        <v>4251008</v>
      </c>
      <c r="J164">
        <f>22050</f>
        <v>22050</v>
      </c>
      <c r="K164" t="str">
        <f>"張"</f>
        <v>張</v>
      </c>
      <c r="L164" t="str">
        <f>"4251001"</f>
        <v>4251001</v>
      </c>
      <c r="M164" t="str">
        <f>"4251001"</f>
        <v>4251001</v>
      </c>
    </row>
    <row r="165" spans="1:13" x14ac:dyDescent="0.15">
      <c r="A165" t="str">
        <f t="shared" si="48"/>
        <v>1851110500</v>
      </c>
      <c r="B165" t="str">
        <f t="shared" si="49"/>
        <v>安佐南・区政調整</v>
      </c>
      <c r="C165" t="str">
        <f>"03ｷ01601"</f>
        <v>03ｷ01601</v>
      </c>
      <c r="D165" t="str">
        <f>"教材提示装置"</f>
        <v>教材提示装置</v>
      </c>
      <c r="E165" t="str">
        <f>"ＯＨＣ　エルモ　ＥＶ５００ＡＦ"</f>
        <v>ＯＨＣ　エルモ　ＥＶ５００ＡＦ</v>
      </c>
      <c r="F165" t="str">
        <f t="shared" si="50"/>
        <v>００６０</v>
      </c>
      <c r="G165" t="str">
        <f>"4070002964"</f>
        <v>4070002964</v>
      </c>
      <c r="H165" t="str">
        <f t="shared" si="62"/>
        <v>001</v>
      </c>
      <c r="I165" t="str">
        <f>"4100401"</f>
        <v>4100401</v>
      </c>
      <c r="J165">
        <f>333720</f>
        <v>333720</v>
      </c>
      <c r="K165" t="str">
        <f>"式"</f>
        <v>式</v>
      </c>
      <c r="L165" t="str">
        <f>"4080319"</f>
        <v>4080319</v>
      </c>
      <c r="M165" t="str">
        <f>"4080319"</f>
        <v>4080319</v>
      </c>
    </row>
    <row r="166" spans="1:13" x14ac:dyDescent="0.15">
      <c r="A166" t="str">
        <f t="shared" si="48"/>
        <v>1851110500</v>
      </c>
      <c r="B166" t="str">
        <f t="shared" si="49"/>
        <v>安佐南・区政調整</v>
      </c>
      <c r="C166" t="str">
        <f>"03ｼ00101"</f>
        <v>03ｼ00101</v>
      </c>
      <c r="D166" t="str">
        <f>"写真機"</f>
        <v>写真機</v>
      </c>
      <c r="E166" t="str">
        <f>"ＣＡＮＯＮ　ＥＯＳ　Ｋｉｓｓ　Ｘ７ｉ　ダブルズームキット"</f>
        <v>ＣＡＮＯＮ　ＥＯＳ　Ｋｉｓｓ　Ｘ７ｉ　ダブルズームキット</v>
      </c>
      <c r="F166" t="str">
        <f t="shared" si="50"/>
        <v>００６０</v>
      </c>
      <c r="G166" t="str">
        <f>"4250005071"</f>
        <v>4250005071</v>
      </c>
      <c r="H166" t="str">
        <f t="shared" si="62"/>
        <v>001</v>
      </c>
      <c r="I166" t="str">
        <f>"4260125"</f>
        <v>4260125</v>
      </c>
      <c r="J166">
        <f>94800</f>
        <v>94800</v>
      </c>
      <c r="K166" t="str">
        <f>"台"</f>
        <v>台</v>
      </c>
      <c r="L166" t="str">
        <f>"4260125"</f>
        <v>4260125</v>
      </c>
      <c r="M166" t="str">
        <f>"4260125"</f>
        <v>4260125</v>
      </c>
    </row>
    <row r="167" spans="1:13" x14ac:dyDescent="0.15">
      <c r="A167" t="str">
        <f t="shared" si="48"/>
        <v>1851110500</v>
      </c>
      <c r="B167" t="str">
        <f t="shared" si="49"/>
        <v>安佐南・区政調整</v>
      </c>
      <c r="C167" t="str">
        <f t="shared" ref="C167:C198" si="63">"03ｼ00703"</f>
        <v>03ｼ00703</v>
      </c>
      <c r="D167" t="str">
        <f t="shared" ref="D167:D198" si="64">"スポットライト"</f>
        <v>スポットライト</v>
      </c>
      <c r="E167" t="str">
        <f t="shared" ref="E167:E181" si="65">"５００Ｗ平凸スポットライト"</f>
        <v>５００Ｗ平凸スポットライト</v>
      </c>
      <c r="F167" t="str">
        <f t="shared" si="50"/>
        <v>００６０</v>
      </c>
      <c r="G167" t="str">
        <f>"3590002267"</f>
        <v>3590002267</v>
      </c>
      <c r="H167" t="str">
        <f t="shared" si="62"/>
        <v>001</v>
      </c>
      <c r="I167" t="str">
        <f t="shared" ref="I167:I208" si="66">"4100401"</f>
        <v>4100401</v>
      </c>
      <c r="J167">
        <f>27500</f>
        <v>27500</v>
      </c>
      <c r="K167" t="str">
        <f t="shared" ref="K167:K208" si="67">"個"</f>
        <v>個</v>
      </c>
      <c r="L167" t="str">
        <f t="shared" ref="L167:L208" si="68">"3600116"</f>
        <v>3600116</v>
      </c>
      <c r="M167" t="str">
        <f>""</f>
        <v/>
      </c>
    </row>
    <row r="168" spans="1:13" x14ac:dyDescent="0.15">
      <c r="A168" t="str">
        <f t="shared" si="48"/>
        <v>1851110500</v>
      </c>
      <c r="B168" t="str">
        <f t="shared" si="49"/>
        <v>安佐南・区政調整</v>
      </c>
      <c r="C168" t="str">
        <f t="shared" si="63"/>
        <v>03ｼ00703</v>
      </c>
      <c r="D168" t="str">
        <f t="shared" si="64"/>
        <v>スポットライト</v>
      </c>
      <c r="E168" t="str">
        <f t="shared" si="65"/>
        <v>５００Ｗ平凸スポットライト</v>
      </c>
      <c r="F168" t="str">
        <f t="shared" si="50"/>
        <v>００６０</v>
      </c>
      <c r="G168" t="str">
        <f>"3590002268"</f>
        <v>3590002268</v>
      </c>
      <c r="H168" t="str">
        <f t="shared" si="62"/>
        <v>001</v>
      </c>
      <c r="I168" t="str">
        <f t="shared" si="66"/>
        <v>4100401</v>
      </c>
      <c r="J168">
        <f>27500</f>
        <v>27500</v>
      </c>
      <c r="K168" t="str">
        <f t="shared" si="67"/>
        <v>個</v>
      </c>
      <c r="L168" t="str">
        <f t="shared" si="68"/>
        <v>3600116</v>
      </c>
      <c r="M168" t="str">
        <f>""</f>
        <v/>
      </c>
    </row>
    <row r="169" spans="1:13" x14ac:dyDescent="0.15">
      <c r="A169" t="str">
        <f t="shared" si="48"/>
        <v>1851110500</v>
      </c>
      <c r="B169" t="str">
        <f t="shared" si="49"/>
        <v>安佐南・区政調整</v>
      </c>
      <c r="C169" t="str">
        <f t="shared" si="63"/>
        <v>03ｼ00703</v>
      </c>
      <c r="D169" t="str">
        <f t="shared" si="64"/>
        <v>スポットライト</v>
      </c>
      <c r="E169" t="str">
        <f t="shared" si="65"/>
        <v>５００Ｗ平凸スポットライト</v>
      </c>
      <c r="F169" t="str">
        <f t="shared" si="50"/>
        <v>００６０</v>
      </c>
      <c r="G169" t="str">
        <f>"3590002269"</f>
        <v>3590002269</v>
      </c>
      <c r="H169" t="str">
        <f t="shared" si="62"/>
        <v>001</v>
      </c>
      <c r="I169" t="str">
        <f t="shared" si="66"/>
        <v>4100401</v>
      </c>
      <c r="J169">
        <f>27500</f>
        <v>27500</v>
      </c>
      <c r="K169" t="str">
        <f t="shared" si="67"/>
        <v>個</v>
      </c>
      <c r="L169" t="str">
        <f t="shared" si="68"/>
        <v>3600116</v>
      </c>
      <c r="M169" t="str">
        <f>""</f>
        <v/>
      </c>
    </row>
    <row r="170" spans="1:13" x14ac:dyDescent="0.15">
      <c r="A170" t="str">
        <f t="shared" si="48"/>
        <v>1851110500</v>
      </c>
      <c r="B170" t="str">
        <f t="shared" si="49"/>
        <v>安佐南・区政調整</v>
      </c>
      <c r="C170" t="str">
        <f t="shared" si="63"/>
        <v>03ｼ00703</v>
      </c>
      <c r="D170" t="str">
        <f t="shared" si="64"/>
        <v>スポットライト</v>
      </c>
      <c r="E170" t="str">
        <f t="shared" si="65"/>
        <v>５００Ｗ平凸スポットライト</v>
      </c>
      <c r="F170" t="str">
        <f t="shared" si="50"/>
        <v>００６０</v>
      </c>
      <c r="G170" t="str">
        <f>"3590002270"</f>
        <v>3590002270</v>
      </c>
      <c r="H170" t="str">
        <f t="shared" si="62"/>
        <v>001</v>
      </c>
      <c r="I170" t="str">
        <f t="shared" si="66"/>
        <v>4100401</v>
      </c>
      <c r="J170">
        <f>27500</f>
        <v>27500</v>
      </c>
      <c r="K170" t="str">
        <f t="shared" si="67"/>
        <v>個</v>
      </c>
      <c r="L170" t="str">
        <f t="shared" si="68"/>
        <v>3600116</v>
      </c>
      <c r="M170" t="str">
        <f>""</f>
        <v/>
      </c>
    </row>
    <row r="171" spans="1:13" x14ac:dyDescent="0.15">
      <c r="A171" t="str">
        <f t="shared" si="48"/>
        <v>1851110500</v>
      </c>
      <c r="B171" t="str">
        <f t="shared" si="49"/>
        <v>安佐南・区政調整</v>
      </c>
      <c r="C171" t="str">
        <f t="shared" si="63"/>
        <v>03ｼ00703</v>
      </c>
      <c r="D171" t="str">
        <f t="shared" si="64"/>
        <v>スポットライト</v>
      </c>
      <c r="E171" t="str">
        <f t="shared" si="65"/>
        <v>５００Ｗ平凸スポットライト</v>
      </c>
      <c r="F171" t="str">
        <f t="shared" si="50"/>
        <v>００６０</v>
      </c>
      <c r="G171" t="str">
        <f>"3590002271"</f>
        <v>3590002271</v>
      </c>
      <c r="H171" t="str">
        <f t="shared" si="62"/>
        <v>001</v>
      </c>
      <c r="I171" t="str">
        <f t="shared" si="66"/>
        <v>4100401</v>
      </c>
      <c r="J171">
        <f>27500</f>
        <v>27500</v>
      </c>
      <c r="K171" t="str">
        <f t="shared" si="67"/>
        <v>個</v>
      </c>
      <c r="L171" t="str">
        <f t="shared" si="68"/>
        <v>3600116</v>
      </c>
      <c r="M171" t="str">
        <f>""</f>
        <v/>
      </c>
    </row>
    <row r="172" spans="1:13" x14ac:dyDescent="0.15">
      <c r="A172" t="str">
        <f t="shared" si="48"/>
        <v>1851110500</v>
      </c>
      <c r="B172" t="str">
        <f t="shared" si="49"/>
        <v>安佐南・区政調整</v>
      </c>
      <c r="C172" t="str">
        <f t="shared" si="63"/>
        <v>03ｼ00703</v>
      </c>
      <c r="D172" t="str">
        <f t="shared" si="64"/>
        <v>スポットライト</v>
      </c>
      <c r="E172" t="str">
        <f t="shared" si="65"/>
        <v>５００Ｗ平凸スポットライト</v>
      </c>
      <c r="F172" t="str">
        <f t="shared" si="50"/>
        <v>００６０</v>
      </c>
      <c r="G172" t="str">
        <f>"3590002272"</f>
        <v>3590002272</v>
      </c>
      <c r="H172" t="str">
        <f t="shared" si="62"/>
        <v>001</v>
      </c>
      <c r="I172" t="str">
        <f t="shared" si="66"/>
        <v>4100401</v>
      </c>
      <c r="J172">
        <f>27500</f>
        <v>27500</v>
      </c>
      <c r="K172" t="str">
        <f t="shared" si="67"/>
        <v>個</v>
      </c>
      <c r="L172" t="str">
        <f t="shared" si="68"/>
        <v>3600116</v>
      </c>
      <c r="M172" t="str">
        <f>""</f>
        <v/>
      </c>
    </row>
    <row r="173" spans="1:13" x14ac:dyDescent="0.15">
      <c r="A173" t="str">
        <f t="shared" si="48"/>
        <v>1851110500</v>
      </c>
      <c r="B173" t="str">
        <f t="shared" si="49"/>
        <v>安佐南・区政調整</v>
      </c>
      <c r="C173" t="str">
        <f t="shared" si="63"/>
        <v>03ｼ00703</v>
      </c>
      <c r="D173" t="str">
        <f t="shared" si="64"/>
        <v>スポットライト</v>
      </c>
      <c r="E173" t="str">
        <f t="shared" si="65"/>
        <v>５００Ｗ平凸スポットライト</v>
      </c>
      <c r="F173" t="str">
        <f t="shared" si="50"/>
        <v>００６０</v>
      </c>
      <c r="G173" t="str">
        <f>"3590002273"</f>
        <v>3590002273</v>
      </c>
      <c r="H173" t="str">
        <f t="shared" si="62"/>
        <v>001</v>
      </c>
      <c r="I173" t="str">
        <f t="shared" si="66"/>
        <v>4100401</v>
      </c>
      <c r="J173">
        <f>27500</f>
        <v>27500</v>
      </c>
      <c r="K173" t="str">
        <f t="shared" si="67"/>
        <v>個</v>
      </c>
      <c r="L173" t="str">
        <f t="shared" si="68"/>
        <v>3600116</v>
      </c>
      <c r="M173" t="str">
        <f>""</f>
        <v/>
      </c>
    </row>
    <row r="174" spans="1:13" x14ac:dyDescent="0.15">
      <c r="A174" t="str">
        <f t="shared" si="48"/>
        <v>1851110500</v>
      </c>
      <c r="B174" t="str">
        <f t="shared" si="49"/>
        <v>安佐南・区政調整</v>
      </c>
      <c r="C174" t="str">
        <f t="shared" si="63"/>
        <v>03ｼ00703</v>
      </c>
      <c r="D174" t="str">
        <f t="shared" si="64"/>
        <v>スポットライト</v>
      </c>
      <c r="E174" t="str">
        <f t="shared" si="65"/>
        <v>５００Ｗ平凸スポットライト</v>
      </c>
      <c r="F174" t="str">
        <f t="shared" si="50"/>
        <v>００６０</v>
      </c>
      <c r="G174" t="str">
        <f>"3590002274"</f>
        <v>3590002274</v>
      </c>
      <c r="H174" t="str">
        <f t="shared" si="62"/>
        <v>001</v>
      </c>
      <c r="I174" t="str">
        <f t="shared" si="66"/>
        <v>4100401</v>
      </c>
      <c r="J174">
        <f>27500</f>
        <v>27500</v>
      </c>
      <c r="K174" t="str">
        <f t="shared" si="67"/>
        <v>個</v>
      </c>
      <c r="L174" t="str">
        <f t="shared" si="68"/>
        <v>3600116</v>
      </c>
      <c r="M174" t="str">
        <f>""</f>
        <v/>
      </c>
    </row>
    <row r="175" spans="1:13" x14ac:dyDescent="0.15">
      <c r="A175" t="str">
        <f t="shared" si="48"/>
        <v>1851110500</v>
      </c>
      <c r="B175" t="str">
        <f t="shared" si="49"/>
        <v>安佐南・区政調整</v>
      </c>
      <c r="C175" t="str">
        <f t="shared" si="63"/>
        <v>03ｼ00703</v>
      </c>
      <c r="D175" t="str">
        <f t="shared" si="64"/>
        <v>スポットライト</v>
      </c>
      <c r="E175" t="str">
        <f t="shared" si="65"/>
        <v>５００Ｗ平凸スポットライト</v>
      </c>
      <c r="F175" t="str">
        <f t="shared" si="50"/>
        <v>００６０</v>
      </c>
      <c r="G175" t="str">
        <f>"3590002275"</f>
        <v>3590002275</v>
      </c>
      <c r="H175" t="str">
        <f t="shared" si="62"/>
        <v>001</v>
      </c>
      <c r="I175" t="str">
        <f t="shared" si="66"/>
        <v>4100401</v>
      </c>
      <c r="J175">
        <f>27500</f>
        <v>27500</v>
      </c>
      <c r="K175" t="str">
        <f t="shared" si="67"/>
        <v>個</v>
      </c>
      <c r="L175" t="str">
        <f t="shared" si="68"/>
        <v>3600116</v>
      </c>
      <c r="M175" t="str">
        <f>""</f>
        <v/>
      </c>
    </row>
    <row r="176" spans="1:13" x14ac:dyDescent="0.15">
      <c r="A176" t="str">
        <f t="shared" si="48"/>
        <v>1851110500</v>
      </c>
      <c r="B176" t="str">
        <f t="shared" si="49"/>
        <v>安佐南・区政調整</v>
      </c>
      <c r="C176" t="str">
        <f t="shared" si="63"/>
        <v>03ｼ00703</v>
      </c>
      <c r="D176" t="str">
        <f t="shared" si="64"/>
        <v>スポットライト</v>
      </c>
      <c r="E176" t="str">
        <f t="shared" si="65"/>
        <v>５００Ｗ平凸スポットライト</v>
      </c>
      <c r="F176" t="str">
        <f t="shared" si="50"/>
        <v>００６０</v>
      </c>
      <c r="G176" t="str">
        <f>"3590002276"</f>
        <v>3590002276</v>
      </c>
      <c r="H176" t="str">
        <f t="shared" si="62"/>
        <v>001</v>
      </c>
      <c r="I176" t="str">
        <f t="shared" si="66"/>
        <v>4100401</v>
      </c>
      <c r="J176">
        <f>27500</f>
        <v>27500</v>
      </c>
      <c r="K176" t="str">
        <f t="shared" si="67"/>
        <v>個</v>
      </c>
      <c r="L176" t="str">
        <f t="shared" si="68"/>
        <v>3600116</v>
      </c>
      <c r="M176" t="str">
        <f>""</f>
        <v/>
      </c>
    </row>
    <row r="177" spans="1:13" x14ac:dyDescent="0.15">
      <c r="A177" t="str">
        <f t="shared" si="48"/>
        <v>1851110500</v>
      </c>
      <c r="B177" t="str">
        <f t="shared" si="49"/>
        <v>安佐南・区政調整</v>
      </c>
      <c r="C177" t="str">
        <f t="shared" si="63"/>
        <v>03ｼ00703</v>
      </c>
      <c r="D177" t="str">
        <f t="shared" si="64"/>
        <v>スポットライト</v>
      </c>
      <c r="E177" t="str">
        <f t="shared" si="65"/>
        <v>５００Ｗ平凸スポットライト</v>
      </c>
      <c r="F177" t="str">
        <f t="shared" si="50"/>
        <v>００６０</v>
      </c>
      <c r="G177" t="str">
        <f>"3590002277"</f>
        <v>3590002277</v>
      </c>
      <c r="H177" t="str">
        <f t="shared" si="62"/>
        <v>001</v>
      </c>
      <c r="I177" t="str">
        <f t="shared" si="66"/>
        <v>4100401</v>
      </c>
      <c r="J177">
        <f>27500</f>
        <v>27500</v>
      </c>
      <c r="K177" t="str">
        <f t="shared" si="67"/>
        <v>個</v>
      </c>
      <c r="L177" t="str">
        <f t="shared" si="68"/>
        <v>3600116</v>
      </c>
      <c r="M177" t="str">
        <f>""</f>
        <v/>
      </c>
    </row>
    <row r="178" spans="1:13" x14ac:dyDescent="0.15">
      <c r="A178" t="str">
        <f t="shared" si="48"/>
        <v>1851110500</v>
      </c>
      <c r="B178" t="str">
        <f t="shared" si="49"/>
        <v>安佐南・区政調整</v>
      </c>
      <c r="C178" t="str">
        <f t="shared" si="63"/>
        <v>03ｼ00703</v>
      </c>
      <c r="D178" t="str">
        <f t="shared" si="64"/>
        <v>スポットライト</v>
      </c>
      <c r="E178" t="str">
        <f t="shared" si="65"/>
        <v>５００Ｗ平凸スポットライト</v>
      </c>
      <c r="F178" t="str">
        <f t="shared" si="50"/>
        <v>００６０</v>
      </c>
      <c r="G178" t="str">
        <f>"3590002278"</f>
        <v>3590002278</v>
      </c>
      <c r="H178" t="str">
        <f t="shared" si="62"/>
        <v>001</v>
      </c>
      <c r="I178" t="str">
        <f t="shared" si="66"/>
        <v>4100401</v>
      </c>
      <c r="J178">
        <f>27500</f>
        <v>27500</v>
      </c>
      <c r="K178" t="str">
        <f t="shared" si="67"/>
        <v>個</v>
      </c>
      <c r="L178" t="str">
        <f t="shared" si="68"/>
        <v>3600116</v>
      </c>
      <c r="M178" t="str">
        <f>""</f>
        <v/>
      </c>
    </row>
    <row r="179" spans="1:13" x14ac:dyDescent="0.15">
      <c r="A179" t="str">
        <f t="shared" si="48"/>
        <v>1851110500</v>
      </c>
      <c r="B179" t="str">
        <f t="shared" si="49"/>
        <v>安佐南・区政調整</v>
      </c>
      <c r="C179" t="str">
        <f t="shared" si="63"/>
        <v>03ｼ00703</v>
      </c>
      <c r="D179" t="str">
        <f t="shared" si="64"/>
        <v>スポットライト</v>
      </c>
      <c r="E179" t="str">
        <f t="shared" si="65"/>
        <v>５００Ｗ平凸スポットライト</v>
      </c>
      <c r="F179" t="str">
        <f t="shared" si="50"/>
        <v>００６０</v>
      </c>
      <c r="G179" t="str">
        <f>"3590002279"</f>
        <v>3590002279</v>
      </c>
      <c r="H179" t="str">
        <f t="shared" si="62"/>
        <v>001</v>
      </c>
      <c r="I179" t="str">
        <f t="shared" si="66"/>
        <v>4100401</v>
      </c>
      <c r="J179">
        <f>27500</f>
        <v>27500</v>
      </c>
      <c r="K179" t="str">
        <f t="shared" si="67"/>
        <v>個</v>
      </c>
      <c r="L179" t="str">
        <f t="shared" si="68"/>
        <v>3600116</v>
      </c>
      <c r="M179" t="str">
        <f>""</f>
        <v/>
      </c>
    </row>
    <row r="180" spans="1:13" x14ac:dyDescent="0.15">
      <c r="A180" t="str">
        <f t="shared" si="48"/>
        <v>1851110500</v>
      </c>
      <c r="B180" t="str">
        <f t="shared" si="49"/>
        <v>安佐南・区政調整</v>
      </c>
      <c r="C180" t="str">
        <f t="shared" si="63"/>
        <v>03ｼ00703</v>
      </c>
      <c r="D180" t="str">
        <f t="shared" si="64"/>
        <v>スポットライト</v>
      </c>
      <c r="E180" t="str">
        <f t="shared" si="65"/>
        <v>５００Ｗ平凸スポットライト</v>
      </c>
      <c r="F180" t="str">
        <f t="shared" si="50"/>
        <v>００６０</v>
      </c>
      <c r="G180" t="str">
        <f>"3590002280"</f>
        <v>3590002280</v>
      </c>
      <c r="H180" t="str">
        <f t="shared" si="62"/>
        <v>001</v>
      </c>
      <c r="I180" t="str">
        <f t="shared" si="66"/>
        <v>4100401</v>
      </c>
      <c r="J180">
        <f>27500</f>
        <v>27500</v>
      </c>
      <c r="K180" t="str">
        <f t="shared" si="67"/>
        <v>個</v>
      </c>
      <c r="L180" t="str">
        <f t="shared" si="68"/>
        <v>3600116</v>
      </c>
      <c r="M180" t="str">
        <f>""</f>
        <v/>
      </c>
    </row>
    <row r="181" spans="1:13" x14ac:dyDescent="0.15">
      <c r="A181" t="str">
        <f t="shared" si="48"/>
        <v>1851110500</v>
      </c>
      <c r="B181" t="str">
        <f t="shared" si="49"/>
        <v>安佐南・区政調整</v>
      </c>
      <c r="C181" t="str">
        <f t="shared" si="63"/>
        <v>03ｼ00703</v>
      </c>
      <c r="D181" t="str">
        <f t="shared" si="64"/>
        <v>スポットライト</v>
      </c>
      <c r="E181" t="str">
        <f t="shared" si="65"/>
        <v>５００Ｗ平凸スポットライト</v>
      </c>
      <c r="F181" t="str">
        <f t="shared" si="50"/>
        <v>００６０</v>
      </c>
      <c r="G181" t="str">
        <f>"3590002281"</f>
        <v>3590002281</v>
      </c>
      <c r="H181" t="str">
        <f t="shared" si="62"/>
        <v>001</v>
      </c>
      <c r="I181" t="str">
        <f t="shared" si="66"/>
        <v>4100401</v>
      </c>
      <c r="J181">
        <f>27500</f>
        <v>27500</v>
      </c>
      <c r="K181" t="str">
        <f t="shared" si="67"/>
        <v>個</v>
      </c>
      <c r="L181" t="str">
        <f t="shared" si="68"/>
        <v>3600116</v>
      </c>
      <c r="M181" t="str">
        <f>""</f>
        <v/>
      </c>
    </row>
    <row r="182" spans="1:13" x14ac:dyDescent="0.15">
      <c r="A182" t="str">
        <f t="shared" si="48"/>
        <v>1851110500</v>
      </c>
      <c r="B182" t="str">
        <f t="shared" si="49"/>
        <v>安佐南・区政調整</v>
      </c>
      <c r="C182" t="str">
        <f t="shared" si="63"/>
        <v>03ｼ00703</v>
      </c>
      <c r="D182" t="str">
        <f t="shared" si="64"/>
        <v>スポットライト</v>
      </c>
      <c r="E182" t="str">
        <f t="shared" ref="E182:E191" si="69">"５００Ｗフレンネルスポットライト"</f>
        <v>５００Ｗフレンネルスポットライト</v>
      </c>
      <c r="F182" t="str">
        <f t="shared" si="50"/>
        <v>００６０</v>
      </c>
      <c r="G182" t="str">
        <f>"3590002282"</f>
        <v>3590002282</v>
      </c>
      <c r="H182" t="str">
        <f t="shared" si="62"/>
        <v>001</v>
      </c>
      <c r="I182" t="str">
        <f t="shared" si="66"/>
        <v>4100401</v>
      </c>
      <c r="J182">
        <f>35500</f>
        <v>35500</v>
      </c>
      <c r="K182" t="str">
        <f t="shared" si="67"/>
        <v>個</v>
      </c>
      <c r="L182" t="str">
        <f t="shared" si="68"/>
        <v>3600116</v>
      </c>
      <c r="M182" t="str">
        <f>""</f>
        <v/>
      </c>
    </row>
    <row r="183" spans="1:13" x14ac:dyDescent="0.15">
      <c r="A183" t="str">
        <f t="shared" si="48"/>
        <v>1851110500</v>
      </c>
      <c r="B183" t="str">
        <f t="shared" si="49"/>
        <v>安佐南・区政調整</v>
      </c>
      <c r="C183" t="str">
        <f t="shared" si="63"/>
        <v>03ｼ00703</v>
      </c>
      <c r="D183" t="str">
        <f t="shared" si="64"/>
        <v>スポットライト</v>
      </c>
      <c r="E183" t="str">
        <f t="shared" si="69"/>
        <v>５００Ｗフレンネルスポットライト</v>
      </c>
      <c r="F183" t="str">
        <f t="shared" si="50"/>
        <v>００６０</v>
      </c>
      <c r="G183" t="str">
        <f>"3590002283"</f>
        <v>3590002283</v>
      </c>
      <c r="H183" t="str">
        <f t="shared" si="62"/>
        <v>001</v>
      </c>
      <c r="I183" t="str">
        <f t="shared" si="66"/>
        <v>4100401</v>
      </c>
      <c r="J183">
        <f>35500</f>
        <v>35500</v>
      </c>
      <c r="K183" t="str">
        <f t="shared" si="67"/>
        <v>個</v>
      </c>
      <c r="L183" t="str">
        <f t="shared" si="68"/>
        <v>3600116</v>
      </c>
      <c r="M183" t="str">
        <f>""</f>
        <v/>
      </c>
    </row>
    <row r="184" spans="1:13" x14ac:dyDescent="0.15">
      <c r="A184" t="str">
        <f t="shared" si="48"/>
        <v>1851110500</v>
      </c>
      <c r="B184" t="str">
        <f t="shared" si="49"/>
        <v>安佐南・区政調整</v>
      </c>
      <c r="C184" t="str">
        <f t="shared" si="63"/>
        <v>03ｼ00703</v>
      </c>
      <c r="D184" t="str">
        <f t="shared" si="64"/>
        <v>スポットライト</v>
      </c>
      <c r="E184" t="str">
        <f t="shared" si="69"/>
        <v>５００Ｗフレンネルスポットライト</v>
      </c>
      <c r="F184" t="str">
        <f t="shared" si="50"/>
        <v>００６０</v>
      </c>
      <c r="G184" t="str">
        <f>"3590002284"</f>
        <v>3590002284</v>
      </c>
      <c r="H184" t="str">
        <f t="shared" si="62"/>
        <v>001</v>
      </c>
      <c r="I184" t="str">
        <f t="shared" si="66"/>
        <v>4100401</v>
      </c>
      <c r="J184">
        <f>35500</f>
        <v>35500</v>
      </c>
      <c r="K184" t="str">
        <f t="shared" si="67"/>
        <v>個</v>
      </c>
      <c r="L184" t="str">
        <f t="shared" si="68"/>
        <v>3600116</v>
      </c>
      <c r="M184" t="str">
        <f>""</f>
        <v/>
      </c>
    </row>
    <row r="185" spans="1:13" x14ac:dyDescent="0.15">
      <c r="A185" t="str">
        <f t="shared" si="48"/>
        <v>1851110500</v>
      </c>
      <c r="B185" t="str">
        <f t="shared" si="49"/>
        <v>安佐南・区政調整</v>
      </c>
      <c r="C185" t="str">
        <f t="shared" si="63"/>
        <v>03ｼ00703</v>
      </c>
      <c r="D185" t="str">
        <f t="shared" si="64"/>
        <v>スポットライト</v>
      </c>
      <c r="E185" t="str">
        <f t="shared" si="69"/>
        <v>５００Ｗフレンネルスポットライト</v>
      </c>
      <c r="F185" t="str">
        <f t="shared" si="50"/>
        <v>００６０</v>
      </c>
      <c r="G185" t="str">
        <f>"3590002285"</f>
        <v>3590002285</v>
      </c>
      <c r="H185" t="str">
        <f t="shared" si="62"/>
        <v>001</v>
      </c>
      <c r="I185" t="str">
        <f t="shared" si="66"/>
        <v>4100401</v>
      </c>
      <c r="J185">
        <f>35500</f>
        <v>35500</v>
      </c>
      <c r="K185" t="str">
        <f t="shared" si="67"/>
        <v>個</v>
      </c>
      <c r="L185" t="str">
        <f t="shared" si="68"/>
        <v>3600116</v>
      </c>
      <c r="M185" t="str">
        <f>""</f>
        <v/>
      </c>
    </row>
    <row r="186" spans="1:13" x14ac:dyDescent="0.15">
      <c r="A186" t="str">
        <f t="shared" si="48"/>
        <v>1851110500</v>
      </c>
      <c r="B186" t="str">
        <f t="shared" si="49"/>
        <v>安佐南・区政調整</v>
      </c>
      <c r="C186" t="str">
        <f t="shared" si="63"/>
        <v>03ｼ00703</v>
      </c>
      <c r="D186" t="str">
        <f t="shared" si="64"/>
        <v>スポットライト</v>
      </c>
      <c r="E186" t="str">
        <f t="shared" si="69"/>
        <v>５００Ｗフレンネルスポットライト</v>
      </c>
      <c r="F186" t="str">
        <f t="shared" si="50"/>
        <v>００６０</v>
      </c>
      <c r="G186" t="str">
        <f>"3590002286"</f>
        <v>3590002286</v>
      </c>
      <c r="H186" t="str">
        <f t="shared" si="62"/>
        <v>001</v>
      </c>
      <c r="I186" t="str">
        <f t="shared" si="66"/>
        <v>4100401</v>
      </c>
      <c r="J186">
        <f>35500</f>
        <v>35500</v>
      </c>
      <c r="K186" t="str">
        <f t="shared" si="67"/>
        <v>個</v>
      </c>
      <c r="L186" t="str">
        <f t="shared" si="68"/>
        <v>3600116</v>
      </c>
      <c r="M186" t="str">
        <f>""</f>
        <v/>
      </c>
    </row>
    <row r="187" spans="1:13" x14ac:dyDescent="0.15">
      <c r="A187" t="str">
        <f t="shared" si="48"/>
        <v>1851110500</v>
      </c>
      <c r="B187" t="str">
        <f t="shared" si="49"/>
        <v>安佐南・区政調整</v>
      </c>
      <c r="C187" t="str">
        <f t="shared" si="63"/>
        <v>03ｼ00703</v>
      </c>
      <c r="D187" t="str">
        <f t="shared" si="64"/>
        <v>スポットライト</v>
      </c>
      <c r="E187" t="str">
        <f t="shared" si="69"/>
        <v>５００Ｗフレンネルスポットライト</v>
      </c>
      <c r="F187" t="str">
        <f t="shared" si="50"/>
        <v>００６０</v>
      </c>
      <c r="G187" t="str">
        <f>"3590002287"</f>
        <v>3590002287</v>
      </c>
      <c r="H187" t="str">
        <f t="shared" ref="H187:H209" si="70">"001"</f>
        <v>001</v>
      </c>
      <c r="I187" t="str">
        <f t="shared" si="66"/>
        <v>4100401</v>
      </c>
      <c r="J187">
        <f>35500</f>
        <v>35500</v>
      </c>
      <c r="K187" t="str">
        <f t="shared" si="67"/>
        <v>個</v>
      </c>
      <c r="L187" t="str">
        <f t="shared" si="68"/>
        <v>3600116</v>
      </c>
      <c r="M187" t="str">
        <f>""</f>
        <v/>
      </c>
    </row>
    <row r="188" spans="1:13" x14ac:dyDescent="0.15">
      <c r="A188" t="str">
        <f t="shared" si="48"/>
        <v>1851110500</v>
      </c>
      <c r="B188" t="str">
        <f t="shared" si="49"/>
        <v>安佐南・区政調整</v>
      </c>
      <c r="C188" t="str">
        <f t="shared" si="63"/>
        <v>03ｼ00703</v>
      </c>
      <c r="D188" t="str">
        <f t="shared" si="64"/>
        <v>スポットライト</v>
      </c>
      <c r="E188" t="str">
        <f t="shared" si="69"/>
        <v>５００Ｗフレンネルスポットライト</v>
      </c>
      <c r="F188" t="str">
        <f t="shared" si="50"/>
        <v>００６０</v>
      </c>
      <c r="G188" t="str">
        <f>"3590002288"</f>
        <v>3590002288</v>
      </c>
      <c r="H188" t="str">
        <f t="shared" si="70"/>
        <v>001</v>
      </c>
      <c r="I188" t="str">
        <f t="shared" si="66"/>
        <v>4100401</v>
      </c>
      <c r="J188">
        <f>35500</f>
        <v>35500</v>
      </c>
      <c r="K188" t="str">
        <f t="shared" si="67"/>
        <v>個</v>
      </c>
      <c r="L188" t="str">
        <f t="shared" si="68"/>
        <v>3600116</v>
      </c>
      <c r="M188" t="str">
        <f>""</f>
        <v/>
      </c>
    </row>
    <row r="189" spans="1:13" x14ac:dyDescent="0.15">
      <c r="A189" t="str">
        <f t="shared" si="48"/>
        <v>1851110500</v>
      </c>
      <c r="B189" t="str">
        <f t="shared" si="49"/>
        <v>安佐南・区政調整</v>
      </c>
      <c r="C189" t="str">
        <f t="shared" si="63"/>
        <v>03ｼ00703</v>
      </c>
      <c r="D189" t="str">
        <f t="shared" si="64"/>
        <v>スポットライト</v>
      </c>
      <c r="E189" t="str">
        <f t="shared" si="69"/>
        <v>５００Ｗフレンネルスポットライト</v>
      </c>
      <c r="F189" t="str">
        <f t="shared" si="50"/>
        <v>００６０</v>
      </c>
      <c r="G189" t="str">
        <f>"3590002289"</f>
        <v>3590002289</v>
      </c>
      <c r="H189" t="str">
        <f t="shared" si="70"/>
        <v>001</v>
      </c>
      <c r="I189" t="str">
        <f t="shared" si="66"/>
        <v>4100401</v>
      </c>
      <c r="J189">
        <f>35500</f>
        <v>35500</v>
      </c>
      <c r="K189" t="str">
        <f t="shared" si="67"/>
        <v>個</v>
      </c>
      <c r="L189" t="str">
        <f t="shared" si="68"/>
        <v>3600116</v>
      </c>
      <c r="M189" t="str">
        <f>""</f>
        <v/>
      </c>
    </row>
    <row r="190" spans="1:13" x14ac:dyDescent="0.15">
      <c r="A190" t="str">
        <f t="shared" si="48"/>
        <v>1851110500</v>
      </c>
      <c r="B190" t="str">
        <f t="shared" si="49"/>
        <v>安佐南・区政調整</v>
      </c>
      <c r="C190" t="str">
        <f t="shared" si="63"/>
        <v>03ｼ00703</v>
      </c>
      <c r="D190" t="str">
        <f t="shared" si="64"/>
        <v>スポットライト</v>
      </c>
      <c r="E190" t="str">
        <f t="shared" si="69"/>
        <v>５００Ｗフレンネルスポットライト</v>
      </c>
      <c r="F190" t="str">
        <f t="shared" si="50"/>
        <v>００６０</v>
      </c>
      <c r="G190" t="str">
        <f>"3590002290"</f>
        <v>3590002290</v>
      </c>
      <c r="H190" t="str">
        <f t="shared" si="70"/>
        <v>001</v>
      </c>
      <c r="I190" t="str">
        <f t="shared" si="66"/>
        <v>4100401</v>
      </c>
      <c r="J190">
        <f>35500</f>
        <v>35500</v>
      </c>
      <c r="K190" t="str">
        <f t="shared" si="67"/>
        <v>個</v>
      </c>
      <c r="L190" t="str">
        <f t="shared" si="68"/>
        <v>3600116</v>
      </c>
      <c r="M190" t="str">
        <f>""</f>
        <v/>
      </c>
    </row>
    <row r="191" spans="1:13" x14ac:dyDescent="0.15">
      <c r="A191" t="str">
        <f t="shared" si="48"/>
        <v>1851110500</v>
      </c>
      <c r="B191" t="str">
        <f t="shared" si="49"/>
        <v>安佐南・区政調整</v>
      </c>
      <c r="C191" t="str">
        <f t="shared" si="63"/>
        <v>03ｼ00703</v>
      </c>
      <c r="D191" t="str">
        <f t="shared" si="64"/>
        <v>スポットライト</v>
      </c>
      <c r="E191" t="str">
        <f t="shared" si="69"/>
        <v>５００Ｗフレンネルスポットライト</v>
      </c>
      <c r="F191" t="str">
        <f t="shared" si="50"/>
        <v>００６０</v>
      </c>
      <c r="G191" t="str">
        <f>"3590002291"</f>
        <v>3590002291</v>
      </c>
      <c r="H191" t="str">
        <f t="shared" si="70"/>
        <v>001</v>
      </c>
      <c r="I191" t="str">
        <f t="shared" si="66"/>
        <v>4100401</v>
      </c>
      <c r="J191">
        <f>35500</f>
        <v>35500</v>
      </c>
      <c r="K191" t="str">
        <f t="shared" si="67"/>
        <v>個</v>
      </c>
      <c r="L191" t="str">
        <f t="shared" si="68"/>
        <v>3600116</v>
      </c>
      <c r="M191" t="str">
        <f>""</f>
        <v/>
      </c>
    </row>
    <row r="192" spans="1:13" x14ac:dyDescent="0.15">
      <c r="A192" t="str">
        <f t="shared" si="48"/>
        <v>1851110500</v>
      </c>
      <c r="B192" t="str">
        <f t="shared" si="49"/>
        <v>安佐南・区政調整</v>
      </c>
      <c r="C192" t="str">
        <f t="shared" si="63"/>
        <v>03ｼ00703</v>
      </c>
      <c r="D192" t="str">
        <f t="shared" si="64"/>
        <v>スポットライト</v>
      </c>
      <c r="E192" t="str">
        <f t="shared" ref="E192:E201" si="71">"ストリップライト４灯"</f>
        <v>ストリップライト４灯</v>
      </c>
      <c r="F192" t="str">
        <f t="shared" si="50"/>
        <v>００６０</v>
      </c>
      <c r="G192" t="str">
        <f>"3590002292"</f>
        <v>3590002292</v>
      </c>
      <c r="H192" t="str">
        <f t="shared" si="70"/>
        <v>001</v>
      </c>
      <c r="I192" t="str">
        <f t="shared" si="66"/>
        <v>4100401</v>
      </c>
      <c r="J192">
        <f>22700</f>
        <v>22700</v>
      </c>
      <c r="K192" t="str">
        <f t="shared" si="67"/>
        <v>個</v>
      </c>
      <c r="L192" t="str">
        <f t="shared" si="68"/>
        <v>3600116</v>
      </c>
      <c r="M192" t="str">
        <f>""</f>
        <v/>
      </c>
    </row>
    <row r="193" spans="1:13" x14ac:dyDescent="0.15">
      <c r="A193" t="str">
        <f t="shared" si="48"/>
        <v>1851110500</v>
      </c>
      <c r="B193" t="str">
        <f t="shared" si="49"/>
        <v>安佐南・区政調整</v>
      </c>
      <c r="C193" t="str">
        <f t="shared" si="63"/>
        <v>03ｼ00703</v>
      </c>
      <c r="D193" t="str">
        <f t="shared" si="64"/>
        <v>スポットライト</v>
      </c>
      <c r="E193" t="str">
        <f t="shared" si="71"/>
        <v>ストリップライト４灯</v>
      </c>
      <c r="F193" t="str">
        <f t="shared" si="50"/>
        <v>００６０</v>
      </c>
      <c r="G193" t="str">
        <f>"3590002293"</f>
        <v>3590002293</v>
      </c>
      <c r="H193" t="str">
        <f t="shared" si="70"/>
        <v>001</v>
      </c>
      <c r="I193" t="str">
        <f t="shared" si="66"/>
        <v>4100401</v>
      </c>
      <c r="J193">
        <f>22700</f>
        <v>22700</v>
      </c>
      <c r="K193" t="str">
        <f t="shared" si="67"/>
        <v>個</v>
      </c>
      <c r="L193" t="str">
        <f t="shared" si="68"/>
        <v>3600116</v>
      </c>
      <c r="M193" t="str">
        <f>""</f>
        <v/>
      </c>
    </row>
    <row r="194" spans="1:13" x14ac:dyDescent="0.15">
      <c r="A194" t="str">
        <f t="shared" ref="A194:A257" si="72">"1851110500"</f>
        <v>1851110500</v>
      </c>
      <c r="B194" t="str">
        <f t="shared" ref="B194:B257" si="73">"安佐南・区政調整"</f>
        <v>安佐南・区政調整</v>
      </c>
      <c r="C194" t="str">
        <f t="shared" si="63"/>
        <v>03ｼ00703</v>
      </c>
      <c r="D194" t="str">
        <f t="shared" si="64"/>
        <v>スポットライト</v>
      </c>
      <c r="E194" t="str">
        <f t="shared" si="71"/>
        <v>ストリップライト４灯</v>
      </c>
      <c r="F194" t="str">
        <f t="shared" ref="F194:F257" si="74">"００６０"</f>
        <v>００６０</v>
      </c>
      <c r="G194" t="str">
        <f>"3590002294"</f>
        <v>3590002294</v>
      </c>
      <c r="H194" t="str">
        <f t="shared" si="70"/>
        <v>001</v>
      </c>
      <c r="I194" t="str">
        <f t="shared" si="66"/>
        <v>4100401</v>
      </c>
      <c r="J194">
        <f>22700</f>
        <v>22700</v>
      </c>
      <c r="K194" t="str">
        <f t="shared" si="67"/>
        <v>個</v>
      </c>
      <c r="L194" t="str">
        <f t="shared" si="68"/>
        <v>3600116</v>
      </c>
      <c r="M194" t="str">
        <f>""</f>
        <v/>
      </c>
    </row>
    <row r="195" spans="1:13" x14ac:dyDescent="0.15">
      <c r="A195" t="str">
        <f t="shared" si="72"/>
        <v>1851110500</v>
      </c>
      <c r="B195" t="str">
        <f t="shared" si="73"/>
        <v>安佐南・区政調整</v>
      </c>
      <c r="C195" t="str">
        <f t="shared" si="63"/>
        <v>03ｼ00703</v>
      </c>
      <c r="D195" t="str">
        <f t="shared" si="64"/>
        <v>スポットライト</v>
      </c>
      <c r="E195" t="str">
        <f t="shared" si="71"/>
        <v>ストリップライト４灯</v>
      </c>
      <c r="F195" t="str">
        <f t="shared" si="74"/>
        <v>００６０</v>
      </c>
      <c r="G195" t="str">
        <f>"3590002295"</f>
        <v>3590002295</v>
      </c>
      <c r="H195" t="str">
        <f t="shared" si="70"/>
        <v>001</v>
      </c>
      <c r="I195" t="str">
        <f t="shared" si="66"/>
        <v>4100401</v>
      </c>
      <c r="J195">
        <f>22700</f>
        <v>22700</v>
      </c>
      <c r="K195" t="str">
        <f t="shared" si="67"/>
        <v>個</v>
      </c>
      <c r="L195" t="str">
        <f t="shared" si="68"/>
        <v>3600116</v>
      </c>
      <c r="M195" t="str">
        <f>""</f>
        <v/>
      </c>
    </row>
    <row r="196" spans="1:13" x14ac:dyDescent="0.15">
      <c r="A196" t="str">
        <f t="shared" si="72"/>
        <v>1851110500</v>
      </c>
      <c r="B196" t="str">
        <f t="shared" si="73"/>
        <v>安佐南・区政調整</v>
      </c>
      <c r="C196" t="str">
        <f t="shared" si="63"/>
        <v>03ｼ00703</v>
      </c>
      <c r="D196" t="str">
        <f t="shared" si="64"/>
        <v>スポットライト</v>
      </c>
      <c r="E196" t="str">
        <f t="shared" si="71"/>
        <v>ストリップライト４灯</v>
      </c>
      <c r="F196" t="str">
        <f t="shared" si="74"/>
        <v>００６０</v>
      </c>
      <c r="G196" t="str">
        <f>"3590002296"</f>
        <v>3590002296</v>
      </c>
      <c r="H196" t="str">
        <f t="shared" si="70"/>
        <v>001</v>
      </c>
      <c r="I196" t="str">
        <f t="shared" si="66"/>
        <v>4100401</v>
      </c>
      <c r="J196">
        <f>22700</f>
        <v>22700</v>
      </c>
      <c r="K196" t="str">
        <f t="shared" si="67"/>
        <v>個</v>
      </c>
      <c r="L196" t="str">
        <f t="shared" si="68"/>
        <v>3600116</v>
      </c>
      <c r="M196" t="str">
        <f>""</f>
        <v/>
      </c>
    </row>
    <row r="197" spans="1:13" x14ac:dyDescent="0.15">
      <c r="A197" t="str">
        <f t="shared" si="72"/>
        <v>1851110500</v>
      </c>
      <c r="B197" t="str">
        <f t="shared" si="73"/>
        <v>安佐南・区政調整</v>
      </c>
      <c r="C197" t="str">
        <f t="shared" si="63"/>
        <v>03ｼ00703</v>
      </c>
      <c r="D197" t="str">
        <f t="shared" si="64"/>
        <v>スポットライト</v>
      </c>
      <c r="E197" t="str">
        <f t="shared" si="71"/>
        <v>ストリップライト４灯</v>
      </c>
      <c r="F197" t="str">
        <f t="shared" si="74"/>
        <v>００６０</v>
      </c>
      <c r="G197" t="str">
        <f>"3590002297"</f>
        <v>3590002297</v>
      </c>
      <c r="H197" t="str">
        <f t="shared" si="70"/>
        <v>001</v>
      </c>
      <c r="I197" t="str">
        <f t="shared" si="66"/>
        <v>4100401</v>
      </c>
      <c r="J197">
        <f>22700</f>
        <v>22700</v>
      </c>
      <c r="K197" t="str">
        <f t="shared" si="67"/>
        <v>個</v>
      </c>
      <c r="L197" t="str">
        <f t="shared" si="68"/>
        <v>3600116</v>
      </c>
      <c r="M197" t="str">
        <f>""</f>
        <v/>
      </c>
    </row>
    <row r="198" spans="1:13" x14ac:dyDescent="0.15">
      <c r="A198" t="str">
        <f t="shared" si="72"/>
        <v>1851110500</v>
      </c>
      <c r="B198" t="str">
        <f t="shared" si="73"/>
        <v>安佐南・区政調整</v>
      </c>
      <c r="C198" t="str">
        <f t="shared" si="63"/>
        <v>03ｼ00703</v>
      </c>
      <c r="D198" t="str">
        <f t="shared" si="64"/>
        <v>スポットライト</v>
      </c>
      <c r="E198" t="str">
        <f t="shared" si="71"/>
        <v>ストリップライト４灯</v>
      </c>
      <c r="F198" t="str">
        <f t="shared" si="74"/>
        <v>００６０</v>
      </c>
      <c r="G198" t="str">
        <f>"3590002298"</f>
        <v>3590002298</v>
      </c>
      <c r="H198" t="str">
        <f t="shared" si="70"/>
        <v>001</v>
      </c>
      <c r="I198" t="str">
        <f t="shared" si="66"/>
        <v>4100401</v>
      </c>
      <c r="J198">
        <f>22700</f>
        <v>22700</v>
      </c>
      <c r="K198" t="str">
        <f t="shared" si="67"/>
        <v>個</v>
      </c>
      <c r="L198" t="str">
        <f t="shared" si="68"/>
        <v>3600116</v>
      </c>
      <c r="M198" t="str">
        <f>""</f>
        <v/>
      </c>
    </row>
    <row r="199" spans="1:13" x14ac:dyDescent="0.15">
      <c r="A199" t="str">
        <f t="shared" si="72"/>
        <v>1851110500</v>
      </c>
      <c r="B199" t="str">
        <f t="shared" si="73"/>
        <v>安佐南・区政調整</v>
      </c>
      <c r="C199" t="str">
        <f t="shared" ref="C199:C216" si="75">"03ｼ00703"</f>
        <v>03ｼ00703</v>
      </c>
      <c r="D199" t="str">
        <f t="shared" ref="D199:D216" si="76">"スポットライト"</f>
        <v>スポットライト</v>
      </c>
      <c r="E199" t="str">
        <f t="shared" si="71"/>
        <v>ストリップライト４灯</v>
      </c>
      <c r="F199" t="str">
        <f t="shared" si="74"/>
        <v>００６０</v>
      </c>
      <c r="G199" t="str">
        <f>"3590002299"</f>
        <v>3590002299</v>
      </c>
      <c r="H199" t="str">
        <f t="shared" si="70"/>
        <v>001</v>
      </c>
      <c r="I199" t="str">
        <f t="shared" si="66"/>
        <v>4100401</v>
      </c>
      <c r="J199">
        <f>22700</f>
        <v>22700</v>
      </c>
      <c r="K199" t="str">
        <f t="shared" si="67"/>
        <v>個</v>
      </c>
      <c r="L199" t="str">
        <f t="shared" si="68"/>
        <v>3600116</v>
      </c>
      <c r="M199" t="str">
        <f>""</f>
        <v/>
      </c>
    </row>
    <row r="200" spans="1:13" x14ac:dyDescent="0.15">
      <c r="A200" t="str">
        <f t="shared" si="72"/>
        <v>1851110500</v>
      </c>
      <c r="B200" t="str">
        <f t="shared" si="73"/>
        <v>安佐南・区政調整</v>
      </c>
      <c r="C200" t="str">
        <f t="shared" si="75"/>
        <v>03ｼ00703</v>
      </c>
      <c r="D200" t="str">
        <f t="shared" si="76"/>
        <v>スポットライト</v>
      </c>
      <c r="E200" t="str">
        <f t="shared" si="71"/>
        <v>ストリップライト４灯</v>
      </c>
      <c r="F200" t="str">
        <f t="shared" si="74"/>
        <v>００６０</v>
      </c>
      <c r="G200" t="str">
        <f>"3590002300"</f>
        <v>3590002300</v>
      </c>
      <c r="H200" t="str">
        <f t="shared" si="70"/>
        <v>001</v>
      </c>
      <c r="I200" t="str">
        <f t="shared" si="66"/>
        <v>4100401</v>
      </c>
      <c r="J200">
        <f>22700</f>
        <v>22700</v>
      </c>
      <c r="K200" t="str">
        <f t="shared" si="67"/>
        <v>個</v>
      </c>
      <c r="L200" t="str">
        <f t="shared" si="68"/>
        <v>3600116</v>
      </c>
      <c r="M200" t="str">
        <f>""</f>
        <v/>
      </c>
    </row>
    <row r="201" spans="1:13" x14ac:dyDescent="0.15">
      <c r="A201" t="str">
        <f t="shared" si="72"/>
        <v>1851110500</v>
      </c>
      <c r="B201" t="str">
        <f t="shared" si="73"/>
        <v>安佐南・区政調整</v>
      </c>
      <c r="C201" t="str">
        <f t="shared" si="75"/>
        <v>03ｼ00703</v>
      </c>
      <c r="D201" t="str">
        <f t="shared" si="76"/>
        <v>スポットライト</v>
      </c>
      <c r="E201" t="str">
        <f t="shared" si="71"/>
        <v>ストリップライト４灯</v>
      </c>
      <c r="F201" t="str">
        <f t="shared" si="74"/>
        <v>００６０</v>
      </c>
      <c r="G201" t="str">
        <f>"3590002301"</f>
        <v>3590002301</v>
      </c>
      <c r="H201" t="str">
        <f t="shared" si="70"/>
        <v>001</v>
      </c>
      <c r="I201" t="str">
        <f t="shared" si="66"/>
        <v>4100401</v>
      </c>
      <c r="J201">
        <f>22700</f>
        <v>22700</v>
      </c>
      <c r="K201" t="str">
        <f t="shared" si="67"/>
        <v>個</v>
      </c>
      <c r="L201" t="str">
        <f t="shared" si="68"/>
        <v>3600116</v>
      </c>
      <c r="M201" t="str">
        <f>""</f>
        <v/>
      </c>
    </row>
    <row r="202" spans="1:13" x14ac:dyDescent="0.15">
      <c r="A202" t="str">
        <f t="shared" si="72"/>
        <v>1851110500</v>
      </c>
      <c r="B202" t="str">
        <f t="shared" si="73"/>
        <v>安佐南・区政調整</v>
      </c>
      <c r="C202" t="str">
        <f t="shared" si="75"/>
        <v>03ｼ00703</v>
      </c>
      <c r="D202" t="str">
        <f t="shared" si="76"/>
        <v>スポットライト</v>
      </c>
      <c r="E202" t="str">
        <f>"ストリップライト松村電機ＳＬ‐８"</f>
        <v>ストリップライト松村電機ＳＬ‐８</v>
      </c>
      <c r="F202" t="str">
        <f t="shared" si="74"/>
        <v>００６０</v>
      </c>
      <c r="G202" t="str">
        <f>"3590002302"</f>
        <v>3590002302</v>
      </c>
      <c r="H202" t="str">
        <f t="shared" si="70"/>
        <v>001</v>
      </c>
      <c r="I202" t="str">
        <f t="shared" si="66"/>
        <v>4100401</v>
      </c>
      <c r="J202">
        <f>30500</f>
        <v>30500</v>
      </c>
      <c r="K202" t="str">
        <f t="shared" si="67"/>
        <v>個</v>
      </c>
      <c r="L202" t="str">
        <f t="shared" si="68"/>
        <v>3600116</v>
      </c>
      <c r="M202" t="str">
        <f>""</f>
        <v/>
      </c>
    </row>
    <row r="203" spans="1:13" x14ac:dyDescent="0.15">
      <c r="A203" t="str">
        <f t="shared" si="72"/>
        <v>1851110500</v>
      </c>
      <c r="B203" t="str">
        <f t="shared" si="73"/>
        <v>安佐南・区政調整</v>
      </c>
      <c r="C203" t="str">
        <f t="shared" si="75"/>
        <v>03ｼ00703</v>
      </c>
      <c r="D203" t="str">
        <f t="shared" si="76"/>
        <v>スポットライト</v>
      </c>
      <c r="E203" t="str">
        <f>"プロジェクタースポットライト"</f>
        <v>プロジェクタースポットライト</v>
      </c>
      <c r="F203" t="str">
        <f t="shared" si="74"/>
        <v>００６０</v>
      </c>
      <c r="G203" t="str">
        <f>"3590002303"</f>
        <v>3590002303</v>
      </c>
      <c r="H203" t="str">
        <f t="shared" si="70"/>
        <v>001</v>
      </c>
      <c r="I203" t="str">
        <f t="shared" si="66"/>
        <v>4100401</v>
      </c>
      <c r="J203">
        <f>182000</f>
        <v>182000</v>
      </c>
      <c r="K203" t="str">
        <f t="shared" si="67"/>
        <v>個</v>
      </c>
      <c r="L203" t="str">
        <f t="shared" si="68"/>
        <v>3600116</v>
      </c>
      <c r="M203" t="str">
        <f>""</f>
        <v/>
      </c>
    </row>
    <row r="204" spans="1:13" x14ac:dyDescent="0.15">
      <c r="A204" t="str">
        <f t="shared" si="72"/>
        <v>1851110500</v>
      </c>
      <c r="B204" t="str">
        <f t="shared" si="73"/>
        <v>安佐南・区政調整</v>
      </c>
      <c r="C204" t="str">
        <f t="shared" si="75"/>
        <v>03ｼ00703</v>
      </c>
      <c r="D204" t="str">
        <f t="shared" si="76"/>
        <v>スポットライト</v>
      </c>
      <c r="E204" t="str">
        <f>"プロジェクタースポットライト"</f>
        <v>プロジェクタースポットライト</v>
      </c>
      <c r="F204" t="str">
        <f t="shared" si="74"/>
        <v>００６０</v>
      </c>
      <c r="G204" t="str">
        <f>"3590002304"</f>
        <v>3590002304</v>
      </c>
      <c r="H204" t="str">
        <f t="shared" si="70"/>
        <v>001</v>
      </c>
      <c r="I204" t="str">
        <f t="shared" si="66"/>
        <v>4100401</v>
      </c>
      <c r="J204">
        <f>182000</f>
        <v>182000</v>
      </c>
      <c r="K204" t="str">
        <f t="shared" si="67"/>
        <v>個</v>
      </c>
      <c r="L204" t="str">
        <f t="shared" si="68"/>
        <v>3600116</v>
      </c>
      <c r="M204" t="str">
        <f>""</f>
        <v/>
      </c>
    </row>
    <row r="205" spans="1:13" x14ac:dyDescent="0.15">
      <c r="A205" t="str">
        <f t="shared" si="72"/>
        <v>1851110500</v>
      </c>
      <c r="B205" t="str">
        <f t="shared" si="73"/>
        <v>安佐南・区政調整</v>
      </c>
      <c r="C205" t="str">
        <f t="shared" si="75"/>
        <v>03ｼ00703</v>
      </c>
      <c r="D205" t="str">
        <f t="shared" si="76"/>
        <v>スポットライト</v>
      </c>
      <c r="E205" t="str">
        <f>"フットスポットライト"</f>
        <v>フットスポットライト</v>
      </c>
      <c r="F205" t="str">
        <f t="shared" si="74"/>
        <v>００６０</v>
      </c>
      <c r="G205" t="str">
        <f>"3590002305"</f>
        <v>3590002305</v>
      </c>
      <c r="H205" t="str">
        <f t="shared" si="70"/>
        <v>001</v>
      </c>
      <c r="I205" t="str">
        <f t="shared" si="66"/>
        <v>4100401</v>
      </c>
      <c r="J205">
        <f>23100</f>
        <v>23100</v>
      </c>
      <c r="K205" t="str">
        <f t="shared" si="67"/>
        <v>個</v>
      </c>
      <c r="L205" t="str">
        <f t="shared" si="68"/>
        <v>3600116</v>
      </c>
      <c r="M205" t="str">
        <f>""</f>
        <v/>
      </c>
    </row>
    <row r="206" spans="1:13" x14ac:dyDescent="0.15">
      <c r="A206" t="str">
        <f t="shared" si="72"/>
        <v>1851110500</v>
      </c>
      <c r="B206" t="str">
        <f t="shared" si="73"/>
        <v>安佐南・区政調整</v>
      </c>
      <c r="C206" t="str">
        <f t="shared" si="75"/>
        <v>03ｼ00703</v>
      </c>
      <c r="D206" t="str">
        <f t="shared" si="76"/>
        <v>スポットライト</v>
      </c>
      <c r="E206" t="str">
        <f>"フットスポットライト"</f>
        <v>フットスポットライト</v>
      </c>
      <c r="F206" t="str">
        <f t="shared" si="74"/>
        <v>００６０</v>
      </c>
      <c r="G206" t="str">
        <f>"3590002306"</f>
        <v>3590002306</v>
      </c>
      <c r="H206" t="str">
        <f t="shared" si="70"/>
        <v>001</v>
      </c>
      <c r="I206" t="str">
        <f t="shared" si="66"/>
        <v>4100401</v>
      </c>
      <c r="J206">
        <f>23100</f>
        <v>23100</v>
      </c>
      <c r="K206" t="str">
        <f t="shared" si="67"/>
        <v>個</v>
      </c>
      <c r="L206" t="str">
        <f t="shared" si="68"/>
        <v>3600116</v>
      </c>
      <c r="M206" t="str">
        <f>""</f>
        <v/>
      </c>
    </row>
    <row r="207" spans="1:13" x14ac:dyDescent="0.15">
      <c r="A207" t="str">
        <f t="shared" si="72"/>
        <v>1851110500</v>
      </c>
      <c r="B207" t="str">
        <f t="shared" si="73"/>
        <v>安佐南・区政調整</v>
      </c>
      <c r="C207" t="str">
        <f t="shared" si="75"/>
        <v>03ｼ00703</v>
      </c>
      <c r="D207" t="str">
        <f t="shared" si="76"/>
        <v>スポットライト</v>
      </c>
      <c r="E207" t="str">
        <f>"フットスポットライト"</f>
        <v>フットスポットライト</v>
      </c>
      <c r="F207" t="str">
        <f t="shared" si="74"/>
        <v>００６０</v>
      </c>
      <c r="G207" t="str">
        <f>"3590002307"</f>
        <v>3590002307</v>
      </c>
      <c r="H207" t="str">
        <f t="shared" si="70"/>
        <v>001</v>
      </c>
      <c r="I207" t="str">
        <f t="shared" si="66"/>
        <v>4100401</v>
      </c>
      <c r="J207">
        <f>23100</f>
        <v>23100</v>
      </c>
      <c r="K207" t="str">
        <f t="shared" si="67"/>
        <v>個</v>
      </c>
      <c r="L207" t="str">
        <f t="shared" si="68"/>
        <v>3600116</v>
      </c>
      <c r="M207" t="str">
        <f>""</f>
        <v/>
      </c>
    </row>
    <row r="208" spans="1:13" x14ac:dyDescent="0.15">
      <c r="A208" t="str">
        <f t="shared" si="72"/>
        <v>1851110500</v>
      </c>
      <c r="B208" t="str">
        <f t="shared" si="73"/>
        <v>安佐南・区政調整</v>
      </c>
      <c r="C208" t="str">
        <f t="shared" si="75"/>
        <v>03ｼ00703</v>
      </c>
      <c r="D208" t="str">
        <f t="shared" si="76"/>
        <v>スポットライト</v>
      </c>
      <c r="E208" t="str">
        <f>"フットスポットライト"</f>
        <v>フットスポットライト</v>
      </c>
      <c r="F208" t="str">
        <f t="shared" si="74"/>
        <v>００６０</v>
      </c>
      <c r="G208" t="str">
        <f>"3590002308"</f>
        <v>3590002308</v>
      </c>
      <c r="H208" t="str">
        <f t="shared" si="70"/>
        <v>001</v>
      </c>
      <c r="I208" t="str">
        <f t="shared" si="66"/>
        <v>4100401</v>
      </c>
      <c r="J208">
        <f>23100</f>
        <v>23100</v>
      </c>
      <c r="K208" t="str">
        <f t="shared" si="67"/>
        <v>個</v>
      </c>
      <c r="L208" t="str">
        <f t="shared" si="68"/>
        <v>3600116</v>
      </c>
      <c r="M208" t="str">
        <f>""</f>
        <v/>
      </c>
    </row>
    <row r="209" spans="1:13" x14ac:dyDescent="0.15">
      <c r="A209" t="str">
        <f t="shared" si="72"/>
        <v>1851110500</v>
      </c>
      <c r="B209" t="str">
        <f t="shared" si="73"/>
        <v>安佐南・区政調整</v>
      </c>
      <c r="C209" t="str">
        <f t="shared" si="75"/>
        <v>03ｼ00703</v>
      </c>
      <c r="D209" t="str">
        <f t="shared" si="76"/>
        <v>スポットライト</v>
      </c>
      <c r="E209" t="str">
        <f>"ソースフォー４２６"</f>
        <v>ソースフォー４２６</v>
      </c>
      <c r="F209" t="str">
        <f t="shared" si="74"/>
        <v>００６０</v>
      </c>
      <c r="G209" t="str">
        <f>"4250005072"</f>
        <v>4250005072</v>
      </c>
      <c r="H209" t="str">
        <f t="shared" si="70"/>
        <v>001</v>
      </c>
      <c r="I209" t="str">
        <f t="shared" ref="I209:I216" si="77">"4260228"</f>
        <v>4260228</v>
      </c>
      <c r="J209">
        <f t="shared" ref="J209:J216" si="78">85050</f>
        <v>85050</v>
      </c>
      <c r="K209" t="str">
        <f t="shared" ref="K209:K217" si="79">"台"</f>
        <v>台</v>
      </c>
      <c r="L209" t="str">
        <f t="shared" ref="L209:L216" si="80">"4260228"</f>
        <v>4260228</v>
      </c>
      <c r="M209" t="str">
        <f t="shared" ref="M209:M216" si="81">"4260228"</f>
        <v>4260228</v>
      </c>
    </row>
    <row r="210" spans="1:13" x14ac:dyDescent="0.15">
      <c r="A210" t="str">
        <f t="shared" si="72"/>
        <v>1851110500</v>
      </c>
      <c r="B210" t="str">
        <f t="shared" si="73"/>
        <v>安佐南・区政調整</v>
      </c>
      <c r="C210" t="str">
        <f t="shared" si="75"/>
        <v>03ｼ00703</v>
      </c>
      <c r="D210" t="str">
        <f t="shared" si="76"/>
        <v>スポットライト</v>
      </c>
      <c r="E210" t="str">
        <f>"ソースフォー４２６"</f>
        <v>ソースフォー４２６</v>
      </c>
      <c r="F210" t="str">
        <f t="shared" si="74"/>
        <v>００６０</v>
      </c>
      <c r="G210" t="str">
        <f>"4250005072"</f>
        <v>4250005072</v>
      </c>
      <c r="H210" t="str">
        <f>"002"</f>
        <v>002</v>
      </c>
      <c r="I210" t="str">
        <f t="shared" si="77"/>
        <v>4260228</v>
      </c>
      <c r="J210">
        <f t="shared" si="78"/>
        <v>85050</v>
      </c>
      <c r="K210" t="str">
        <f t="shared" si="79"/>
        <v>台</v>
      </c>
      <c r="L210" t="str">
        <f t="shared" si="80"/>
        <v>4260228</v>
      </c>
      <c r="M210" t="str">
        <f t="shared" si="81"/>
        <v>4260228</v>
      </c>
    </row>
    <row r="211" spans="1:13" x14ac:dyDescent="0.15">
      <c r="A211" t="str">
        <f t="shared" si="72"/>
        <v>1851110500</v>
      </c>
      <c r="B211" t="str">
        <f t="shared" si="73"/>
        <v>安佐南・区政調整</v>
      </c>
      <c r="C211" t="str">
        <f t="shared" si="75"/>
        <v>03ｼ00703</v>
      </c>
      <c r="D211" t="str">
        <f t="shared" si="76"/>
        <v>スポットライト</v>
      </c>
      <c r="E211" t="str">
        <f>"ソースフォー４２６"</f>
        <v>ソースフォー４２６</v>
      </c>
      <c r="F211" t="str">
        <f t="shared" si="74"/>
        <v>００６０</v>
      </c>
      <c r="G211" t="str">
        <f>"4250005072"</f>
        <v>4250005072</v>
      </c>
      <c r="H211" t="str">
        <f>"003"</f>
        <v>003</v>
      </c>
      <c r="I211" t="str">
        <f t="shared" si="77"/>
        <v>4260228</v>
      </c>
      <c r="J211">
        <f t="shared" si="78"/>
        <v>85050</v>
      </c>
      <c r="K211" t="str">
        <f t="shared" si="79"/>
        <v>台</v>
      </c>
      <c r="L211" t="str">
        <f t="shared" si="80"/>
        <v>4260228</v>
      </c>
      <c r="M211" t="str">
        <f t="shared" si="81"/>
        <v>4260228</v>
      </c>
    </row>
    <row r="212" spans="1:13" x14ac:dyDescent="0.15">
      <c r="A212" t="str">
        <f t="shared" si="72"/>
        <v>1851110500</v>
      </c>
      <c r="B212" t="str">
        <f t="shared" si="73"/>
        <v>安佐南・区政調整</v>
      </c>
      <c r="C212" t="str">
        <f t="shared" si="75"/>
        <v>03ｼ00703</v>
      </c>
      <c r="D212" t="str">
        <f t="shared" si="76"/>
        <v>スポットライト</v>
      </c>
      <c r="E212" t="str">
        <f>"ソースフォー４２６"</f>
        <v>ソースフォー４２６</v>
      </c>
      <c r="F212" t="str">
        <f t="shared" si="74"/>
        <v>００６０</v>
      </c>
      <c r="G212" t="str">
        <f>"4250005072"</f>
        <v>4250005072</v>
      </c>
      <c r="H212" t="str">
        <f>"004"</f>
        <v>004</v>
      </c>
      <c r="I212" t="str">
        <f t="shared" si="77"/>
        <v>4260228</v>
      </c>
      <c r="J212">
        <f t="shared" si="78"/>
        <v>85050</v>
      </c>
      <c r="K212" t="str">
        <f t="shared" si="79"/>
        <v>台</v>
      </c>
      <c r="L212" t="str">
        <f t="shared" si="80"/>
        <v>4260228</v>
      </c>
      <c r="M212" t="str">
        <f t="shared" si="81"/>
        <v>4260228</v>
      </c>
    </row>
    <row r="213" spans="1:13" x14ac:dyDescent="0.15">
      <c r="A213" t="str">
        <f t="shared" si="72"/>
        <v>1851110500</v>
      </c>
      <c r="B213" t="str">
        <f t="shared" si="73"/>
        <v>安佐南・区政調整</v>
      </c>
      <c r="C213" t="str">
        <f t="shared" si="75"/>
        <v>03ｼ00703</v>
      </c>
      <c r="D213" t="str">
        <f t="shared" si="76"/>
        <v>スポットライト</v>
      </c>
      <c r="E213" t="str">
        <f>"ソースフォー４３６"</f>
        <v>ソースフォー４３６</v>
      </c>
      <c r="F213" t="str">
        <f t="shared" si="74"/>
        <v>００６０</v>
      </c>
      <c r="G213" t="str">
        <f>"4250005073"</f>
        <v>4250005073</v>
      </c>
      <c r="H213" t="str">
        <f>"001"</f>
        <v>001</v>
      </c>
      <c r="I213" t="str">
        <f t="shared" si="77"/>
        <v>4260228</v>
      </c>
      <c r="J213">
        <f t="shared" si="78"/>
        <v>85050</v>
      </c>
      <c r="K213" t="str">
        <f t="shared" si="79"/>
        <v>台</v>
      </c>
      <c r="L213" t="str">
        <f t="shared" si="80"/>
        <v>4260228</v>
      </c>
      <c r="M213" t="str">
        <f t="shared" si="81"/>
        <v>4260228</v>
      </c>
    </row>
    <row r="214" spans="1:13" x14ac:dyDescent="0.15">
      <c r="A214" t="str">
        <f t="shared" si="72"/>
        <v>1851110500</v>
      </c>
      <c r="B214" t="str">
        <f t="shared" si="73"/>
        <v>安佐南・区政調整</v>
      </c>
      <c r="C214" t="str">
        <f t="shared" si="75"/>
        <v>03ｼ00703</v>
      </c>
      <c r="D214" t="str">
        <f t="shared" si="76"/>
        <v>スポットライト</v>
      </c>
      <c r="E214" t="str">
        <f>"ソースフォー４３６"</f>
        <v>ソースフォー４３６</v>
      </c>
      <c r="F214" t="str">
        <f t="shared" si="74"/>
        <v>００６０</v>
      </c>
      <c r="G214" t="str">
        <f>"4250005073"</f>
        <v>4250005073</v>
      </c>
      <c r="H214" t="str">
        <f>"002"</f>
        <v>002</v>
      </c>
      <c r="I214" t="str">
        <f t="shared" si="77"/>
        <v>4260228</v>
      </c>
      <c r="J214">
        <f t="shared" si="78"/>
        <v>85050</v>
      </c>
      <c r="K214" t="str">
        <f t="shared" si="79"/>
        <v>台</v>
      </c>
      <c r="L214" t="str">
        <f t="shared" si="80"/>
        <v>4260228</v>
      </c>
      <c r="M214" t="str">
        <f t="shared" si="81"/>
        <v>4260228</v>
      </c>
    </row>
    <row r="215" spans="1:13" x14ac:dyDescent="0.15">
      <c r="A215" t="str">
        <f t="shared" si="72"/>
        <v>1851110500</v>
      </c>
      <c r="B215" t="str">
        <f t="shared" si="73"/>
        <v>安佐南・区政調整</v>
      </c>
      <c r="C215" t="str">
        <f t="shared" si="75"/>
        <v>03ｼ00703</v>
      </c>
      <c r="D215" t="str">
        <f t="shared" si="76"/>
        <v>スポットライト</v>
      </c>
      <c r="E215" t="str">
        <f>"ソースフォー４３６"</f>
        <v>ソースフォー４３６</v>
      </c>
      <c r="F215" t="str">
        <f t="shared" si="74"/>
        <v>００６０</v>
      </c>
      <c r="G215" t="str">
        <f>"4250005073"</f>
        <v>4250005073</v>
      </c>
      <c r="H215" t="str">
        <f>"003"</f>
        <v>003</v>
      </c>
      <c r="I215" t="str">
        <f t="shared" si="77"/>
        <v>4260228</v>
      </c>
      <c r="J215">
        <f t="shared" si="78"/>
        <v>85050</v>
      </c>
      <c r="K215" t="str">
        <f t="shared" si="79"/>
        <v>台</v>
      </c>
      <c r="L215" t="str">
        <f t="shared" si="80"/>
        <v>4260228</v>
      </c>
      <c r="M215" t="str">
        <f t="shared" si="81"/>
        <v>4260228</v>
      </c>
    </row>
    <row r="216" spans="1:13" x14ac:dyDescent="0.15">
      <c r="A216" t="str">
        <f t="shared" si="72"/>
        <v>1851110500</v>
      </c>
      <c r="B216" t="str">
        <f t="shared" si="73"/>
        <v>安佐南・区政調整</v>
      </c>
      <c r="C216" t="str">
        <f t="shared" si="75"/>
        <v>03ｼ00703</v>
      </c>
      <c r="D216" t="str">
        <f t="shared" si="76"/>
        <v>スポットライト</v>
      </c>
      <c r="E216" t="str">
        <f>"ソースフォー４３６"</f>
        <v>ソースフォー４３６</v>
      </c>
      <c r="F216" t="str">
        <f t="shared" si="74"/>
        <v>００６０</v>
      </c>
      <c r="G216" t="str">
        <f>"4250005073"</f>
        <v>4250005073</v>
      </c>
      <c r="H216" t="str">
        <f>"004"</f>
        <v>004</v>
      </c>
      <c r="I216" t="str">
        <f t="shared" si="77"/>
        <v>4260228</v>
      </c>
      <c r="J216">
        <f t="shared" si="78"/>
        <v>85050</v>
      </c>
      <c r="K216" t="str">
        <f t="shared" si="79"/>
        <v>台</v>
      </c>
      <c r="L216" t="str">
        <f t="shared" si="80"/>
        <v>4260228</v>
      </c>
      <c r="M216" t="str">
        <f t="shared" si="81"/>
        <v>4260228</v>
      </c>
    </row>
    <row r="217" spans="1:13" x14ac:dyDescent="0.15">
      <c r="A217" t="str">
        <f t="shared" si="72"/>
        <v>1851110500</v>
      </c>
      <c r="B217" t="str">
        <f t="shared" si="73"/>
        <v>安佐南・区政調整</v>
      </c>
      <c r="C217" t="str">
        <f>"03ｼ05401"</f>
        <v>03ｼ05401</v>
      </c>
      <c r="D217" t="str">
        <f>"除湿機"</f>
        <v>除湿機</v>
      </c>
      <c r="E217" t="str">
        <f>"日立　ＲＤ－１０２２ＬＤ"</f>
        <v>日立　ＲＤ－１０２２ＬＤ</v>
      </c>
      <c r="F217" t="str">
        <f t="shared" si="74"/>
        <v>００６０</v>
      </c>
      <c r="G217" t="str">
        <f>"4070002965"</f>
        <v>4070002965</v>
      </c>
      <c r="H217" t="str">
        <f t="shared" ref="H217:H240" si="82">"001"</f>
        <v>001</v>
      </c>
      <c r="I217" t="str">
        <f t="shared" ref="I217:I229" si="83">"4100401"</f>
        <v>4100401</v>
      </c>
      <c r="J217">
        <f>74160</f>
        <v>74160</v>
      </c>
      <c r="K217" t="str">
        <f t="shared" si="79"/>
        <v>台</v>
      </c>
      <c r="L217" t="str">
        <f>"4080311"</f>
        <v>4080311</v>
      </c>
      <c r="M217" t="str">
        <f>"4080311"</f>
        <v>4080311</v>
      </c>
    </row>
    <row r="218" spans="1:13" x14ac:dyDescent="0.15">
      <c r="A218" t="str">
        <f t="shared" si="72"/>
        <v>1851110500</v>
      </c>
      <c r="B218" t="str">
        <f t="shared" si="73"/>
        <v>安佐南・区政調整</v>
      </c>
      <c r="C218" t="str">
        <f t="shared" ref="C218:C229" si="84">"03ｽ01501"</f>
        <v>03ｽ01501</v>
      </c>
      <c r="D218" t="str">
        <f t="shared" ref="D218:D229" si="85">"スタンド"</f>
        <v>スタンド</v>
      </c>
      <c r="E218" t="str">
        <f t="shared" ref="E218:E225" si="86">"松村電機ＳＢ‐２"</f>
        <v>松村電機ＳＢ‐２</v>
      </c>
      <c r="F218" t="str">
        <f t="shared" si="74"/>
        <v>００６０</v>
      </c>
      <c r="G218" t="str">
        <f>"3590002309"</f>
        <v>3590002309</v>
      </c>
      <c r="H218" t="str">
        <f t="shared" si="82"/>
        <v>001</v>
      </c>
      <c r="I218" t="str">
        <f t="shared" si="83"/>
        <v>4100401</v>
      </c>
      <c r="J218">
        <f>22300</f>
        <v>22300</v>
      </c>
      <c r="K218" t="str">
        <f t="shared" ref="K218:K230" si="87">"個"</f>
        <v>個</v>
      </c>
      <c r="L218" t="str">
        <f t="shared" ref="L218:L229" si="88">"3600116"</f>
        <v>3600116</v>
      </c>
      <c r="M218" t="str">
        <f>""</f>
        <v/>
      </c>
    </row>
    <row r="219" spans="1:13" x14ac:dyDescent="0.15">
      <c r="A219" t="str">
        <f t="shared" si="72"/>
        <v>1851110500</v>
      </c>
      <c r="B219" t="str">
        <f t="shared" si="73"/>
        <v>安佐南・区政調整</v>
      </c>
      <c r="C219" t="str">
        <f t="shared" si="84"/>
        <v>03ｽ01501</v>
      </c>
      <c r="D219" t="str">
        <f t="shared" si="85"/>
        <v>スタンド</v>
      </c>
      <c r="E219" t="str">
        <f t="shared" si="86"/>
        <v>松村電機ＳＢ‐２</v>
      </c>
      <c r="F219" t="str">
        <f t="shared" si="74"/>
        <v>００６０</v>
      </c>
      <c r="G219" t="str">
        <f>"3590002310"</f>
        <v>3590002310</v>
      </c>
      <c r="H219" t="str">
        <f t="shared" si="82"/>
        <v>001</v>
      </c>
      <c r="I219" t="str">
        <f t="shared" si="83"/>
        <v>4100401</v>
      </c>
      <c r="J219">
        <f>22300</f>
        <v>22300</v>
      </c>
      <c r="K219" t="str">
        <f t="shared" si="87"/>
        <v>個</v>
      </c>
      <c r="L219" t="str">
        <f t="shared" si="88"/>
        <v>3600116</v>
      </c>
      <c r="M219" t="str">
        <f>""</f>
        <v/>
      </c>
    </row>
    <row r="220" spans="1:13" x14ac:dyDescent="0.15">
      <c r="A220" t="str">
        <f t="shared" si="72"/>
        <v>1851110500</v>
      </c>
      <c r="B220" t="str">
        <f t="shared" si="73"/>
        <v>安佐南・区政調整</v>
      </c>
      <c r="C220" t="str">
        <f t="shared" si="84"/>
        <v>03ｽ01501</v>
      </c>
      <c r="D220" t="str">
        <f t="shared" si="85"/>
        <v>スタンド</v>
      </c>
      <c r="E220" t="str">
        <f t="shared" si="86"/>
        <v>松村電機ＳＢ‐２</v>
      </c>
      <c r="F220" t="str">
        <f t="shared" si="74"/>
        <v>００６０</v>
      </c>
      <c r="G220" t="str">
        <f>"3590002311"</f>
        <v>3590002311</v>
      </c>
      <c r="H220" t="str">
        <f t="shared" si="82"/>
        <v>001</v>
      </c>
      <c r="I220" t="str">
        <f t="shared" si="83"/>
        <v>4100401</v>
      </c>
      <c r="J220">
        <f>22300</f>
        <v>22300</v>
      </c>
      <c r="K220" t="str">
        <f t="shared" si="87"/>
        <v>個</v>
      </c>
      <c r="L220" t="str">
        <f t="shared" si="88"/>
        <v>3600116</v>
      </c>
      <c r="M220" t="str">
        <f>""</f>
        <v/>
      </c>
    </row>
    <row r="221" spans="1:13" x14ac:dyDescent="0.15">
      <c r="A221" t="str">
        <f t="shared" si="72"/>
        <v>1851110500</v>
      </c>
      <c r="B221" t="str">
        <f t="shared" si="73"/>
        <v>安佐南・区政調整</v>
      </c>
      <c r="C221" t="str">
        <f t="shared" si="84"/>
        <v>03ｽ01501</v>
      </c>
      <c r="D221" t="str">
        <f t="shared" si="85"/>
        <v>スタンド</v>
      </c>
      <c r="E221" t="str">
        <f t="shared" si="86"/>
        <v>松村電機ＳＢ‐２</v>
      </c>
      <c r="F221" t="str">
        <f t="shared" si="74"/>
        <v>００６０</v>
      </c>
      <c r="G221" t="str">
        <f>"3590002312"</f>
        <v>3590002312</v>
      </c>
      <c r="H221" t="str">
        <f t="shared" si="82"/>
        <v>001</v>
      </c>
      <c r="I221" t="str">
        <f t="shared" si="83"/>
        <v>4100401</v>
      </c>
      <c r="J221">
        <f>22300</f>
        <v>22300</v>
      </c>
      <c r="K221" t="str">
        <f t="shared" si="87"/>
        <v>個</v>
      </c>
      <c r="L221" t="str">
        <f t="shared" si="88"/>
        <v>3600116</v>
      </c>
      <c r="M221" t="str">
        <f>""</f>
        <v/>
      </c>
    </row>
    <row r="222" spans="1:13" x14ac:dyDescent="0.15">
      <c r="A222" t="str">
        <f t="shared" si="72"/>
        <v>1851110500</v>
      </c>
      <c r="B222" t="str">
        <f t="shared" si="73"/>
        <v>安佐南・区政調整</v>
      </c>
      <c r="C222" t="str">
        <f t="shared" si="84"/>
        <v>03ｽ01501</v>
      </c>
      <c r="D222" t="str">
        <f t="shared" si="85"/>
        <v>スタンド</v>
      </c>
      <c r="E222" t="str">
        <f t="shared" si="86"/>
        <v>松村電機ＳＢ‐２</v>
      </c>
      <c r="F222" t="str">
        <f t="shared" si="74"/>
        <v>００６０</v>
      </c>
      <c r="G222" t="str">
        <f>"3590002313"</f>
        <v>3590002313</v>
      </c>
      <c r="H222" t="str">
        <f t="shared" si="82"/>
        <v>001</v>
      </c>
      <c r="I222" t="str">
        <f t="shared" si="83"/>
        <v>4100401</v>
      </c>
      <c r="J222">
        <f>22300</f>
        <v>22300</v>
      </c>
      <c r="K222" t="str">
        <f t="shared" si="87"/>
        <v>個</v>
      </c>
      <c r="L222" t="str">
        <f t="shared" si="88"/>
        <v>3600116</v>
      </c>
      <c r="M222" t="str">
        <f>""</f>
        <v/>
      </c>
    </row>
    <row r="223" spans="1:13" x14ac:dyDescent="0.15">
      <c r="A223" t="str">
        <f t="shared" si="72"/>
        <v>1851110500</v>
      </c>
      <c r="B223" t="str">
        <f t="shared" si="73"/>
        <v>安佐南・区政調整</v>
      </c>
      <c r="C223" t="str">
        <f t="shared" si="84"/>
        <v>03ｽ01501</v>
      </c>
      <c r="D223" t="str">
        <f t="shared" si="85"/>
        <v>スタンド</v>
      </c>
      <c r="E223" t="str">
        <f t="shared" si="86"/>
        <v>松村電機ＳＢ‐２</v>
      </c>
      <c r="F223" t="str">
        <f t="shared" si="74"/>
        <v>００６０</v>
      </c>
      <c r="G223" t="str">
        <f>"3590002314"</f>
        <v>3590002314</v>
      </c>
      <c r="H223" t="str">
        <f t="shared" si="82"/>
        <v>001</v>
      </c>
      <c r="I223" t="str">
        <f t="shared" si="83"/>
        <v>4100401</v>
      </c>
      <c r="J223">
        <f>22300</f>
        <v>22300</v>
      </c>
      <c r="K223" t="str">
        <f t="shared" si="87"/>
        <v>個</v>
      </c>
      <c r="L223" t="str">
        <f t="shared" si="88"/>
        <v>3600116</v>
      </c>
      <c r="M223" t="str">
        <f>""</f>
        <v/>
      </c>
    </row>
    <row r="224" spans="1:13" x14ac:dyDescent="0.15">
      <c r="A224" t="str">
        <f t="shared" si="72"/>
        <v>1851110500</v>
      </c>
      <c r="B224" t="str">
        <f t="shared" si="73"/>
        <v>安佐南・区政調整</v>
      </c>
      <c r="C224" t="str">
        <f t="shared" si="84"/>
        <v>03ｽ01501</v>
      </c>
      <c r="D224" t="str">
        <f t="shared" si="85"/>
        <v>スタンド</v>
      </c>
      <c r="E224" t="str">
        <f t="shared" si="86"/>
        <v>松村電機ＳＢ‐２</v>
      </c>
      <c r="F224" t="str">
        <f t="shared" si="74"/>
        <v>００６０</v>
      </c>
      <c r="G224" t="str">
        <f>"3590002315"</f>
        <v>3590002315</v>
      </c>
      <c r="H224" t="str">
        <f t="shared" si="82"/>
        <v>001</v>
      </c>
      <c r="I224" t="str">
        <f t="shared" si="83"/>
        <v>4100401</v>
      </c>
      <c r="J224">
        <f>22300</f>
        <v>22300</v>
      </c>
      <c r="K224" t="str">
        <f t="shared" si="87"/>
        <v>個</v>
      </c>
      <c r="L224" t="str">
        <f t="shared" si="88"/>
        <v>3600116</v>
      </c>
      <c r="M224" t="str">
        <f>""</f>
        <v/>
      </c>
    </row>
    <row r="225" spans="1:13" x14ac:dyDescent="0.15">
      <c r="A225" t="str">
        <f t="shared" si="72"/>
        <v>1851110500</v>
      </c>
      <c r="B225" t="str">
        <f t="shared" si="73"/>
        <v>安佐南・区政調整</v>
      </c>
      <c r="C225" t="str">
        <f t="shared" si="84"/>
        <v>03ｽ01501</v>
      </c>
      <c r="D225" t="str">
        <f t="shared" si="85"/>
        <v>スタンド</v>
      </c>
      <c r="E225" t="str">
        <f t="shared" si="86"/>
        <v>松村電機ＳＢ‐２</v>
      </c>
      <c r="F225" t="str">
        <f t="shared" si="74"/>
        <v>００６０</v>
      </c>
      <c r="G225" t="str">
        <f>"3590002316"</f>
        <v>3590002316</v>
      </c>
      <c r="H225" t="str">
        <f t="shared" si="82"/>
        <v>001</v>
      </c>
      <c r="I225" t="str">
        <f t="shared" si="83"/>
        <v>4100401</v>
      </c>
      <c r="J225">
        <f>22300</f>
        <v>22300</v>
      </c>
      <c r="K225" t="str">
        <f t="shared" si="87"/>
        <v>個</v>
      </c>
      <c r="L225" t="str">
        <f t="shared" si="88"/>
        <v>3600116</v>
      </c>
      <c r="M225" t="str">
        <f>""</f>
        <v/>
      </c>
    </row>
    <row r="226" spans="1:13" x14ac:dyDescent="0.15">
      <c r="A226" t="str">
        <f t="shared" si="72"/>
        <v>1851110500</v>
      </c>
      <c r="B226" t="str">
        <f t="shared" si="73"/>
        <v>安佐南・区政調整</v>
      </c>
      <c r="C226" t="str">
        <f t="shared" si="84"/>
        <v>03ｽ01501</v>
      </c>
      <c r="D226" t="str">
        <f t="shared" si="85"/>
        <v>スタンド</v>
      </c>
      <c r="E226" t="str">
        <f>"松村電機ＳＰ‐Ｈ"</f>
        <v>松村電機ＳＰ‐Ｈ</v>
      </c>
      <c r="F226" t="str">
        <f t="shared" si="74"/>
        <v>００６０</v>
      </c>
      <c r="G226" t="str">
        <f>"3590002317"</f>
        <v>3590002317</v>
      </c>
      <c r="H226" t="str">
        <f t="shared" si="82"/>
        <v>001</v>
      </c>
      <c r="I226" t="str">
        <f t="shared" si="83"/>
        <v>4100401</v>
      </c>
      <c r="J226">
        <f>79200</f>
        <v>79200</v>
      </c>
      <c r="K226" t="str">
        <f t="shared" si="87"/>
        <v>個</v>
      </c>
      <c r="L226" t="str">
        <f t="shared" si="88"/>
        <v>3600116</v>
      </c>
      <c r="M226" t="str">
        <f>""</f>
        <v/>
      </c>
    </row>
    <row r="227" spans="1:13" x14ac:dyDescent="0.15">
      <c r="A227" t="str">
        <f t="shared" si="72"/>
        <v>1851110500</v>
      </c>
      <c r="B227" t="str">
        <f t="shared" si="73"/>
        <v>安佐南・区政調整</v>
      </c>
      <c r="C227" t="str">
        <f t="shared" si="84"/>
        <v>03ｽ01501</v>
      </c>
      <c r="D227" t="str">
        <f t="shared" si="85"/>
        <v>スタンド</v>
      </c>
      <c r="E227" t="str">
        <f>"松村電機ＳＰ‐Ｈ"</f>
        <v>松村電機ＳＰ‐Ｈ</v>
      </c>
      <c r="F227" t="str">
        <f t="shared" si="74"/>
        <v>００６０</v>
      </c>
      <c r="G227" t="str">
        <f>"3590002318"</f>
        <v>3590002318</v>
      </c>
      <c r="H227" t="str">
        <f t="shared" si="82"/>
        <v>001</v>
      </c>
      <c r="I227" t="str">
        <f t="shared" si="83"/>
        <v>4100401</v>
      </c>
      <c r="J227">
        <f>79200</f>
        <v>79200</v>
      </c>
      <c r="K227" t="str">
        <f t="shared" si="87"/>
        <v>個</v>
      </c>
      <c r="L227" t="str">
        <f t="shared" si="88"/>
        <v>3600116</v>
      </c>
      <c r="M227" t="str">
        <f>""</f>
        <v/>
      </c>
    </row>
    <row r="228" spans="1:13" x14ac:dyDescent="0.15">
      <c r="A228" t="str">
        <f t="shared" si="72"/>
        <v>1851110500</v>
      </c>
      <c r="B228" t="str">
        <f t="shared" si="73"/>
        <v>安佐南・区政調整</v>
      </c>
      <c r="C228" t="str">
        <f t="shared" si="84"/>
        <v>03ｽ01501</v>
      </c>
      <c r="D228" t="str">
        <f t="shared" si="85"/>
        <v>スタンド</v>
      </c>
      <c r="E228" t="str">
        <f>"松村電機ＳＰ‐Ｈ"</f>
        <v>松村電機ＳＰ‐Ｈ</v>
      </c>
      <c r="F228" t="str">
        <f t="shared" si="74"/>
        <v>００６０</v>
      </c>
      <c r="G228" t="str">
        <f>"3590002319"</f>
        <v>3590002319</v>
      </c>
      <c r="H228" t="str">
        <f t="shared" si="82"/>
        <v>001</v>
      </c>
      <c r="I228" t="str">
        <f t="shared" si="83"/>
        <v>4100401</v>
      </c>
      <c r="J228">
        <f>79200</f>
        <v>79200</v>
      </c>
      <c r="K228" t="str">
        <f t="shared" si="87"/>
        <v>個</v>
      </c>
      <c r="L228" t="str">
        <f t="shared" si="88"/>
        <v>3600116</v>
      </c>
      <c r="M228" t="str">
        <f>""</f>
        <v/>
      </c>
    </row>
    <row r="229" spans="1:13" x14ac:dyDescent="0.15">
      <c r="A229" t="str">
        <f t="shared" si="72"/>
        <v>1851110500</v>
      </c>
      <c r="B229" t="str">
        <f t="shared" si="73"/>
        <v>安佐南・区政調整</v>
      </c>
      <c r="C229" t="str">
        <f t="shared" si="84"/>
        <v>03ｽ01501</v>
      </c>
      <c r="D229" t="str">
        <f t="shared" si="85"/>
        <v>スタンド</v>
      </c>
      <c r="E229" t="str">
        <f>"松村電機ＳＰ‐Ｈ"</f>
        <v>松村電機ＳＰ‐Ｈ</v>
      </c>
      <c r="F229" t="str">
        <f t="shared" si="74"/>
        <v>００６０</v>
      </c>
      <c r="G229" t="str">
        <f>"3590002320"</f>
        <v>3590002320</v>
      </c>
      <c r="H229" t="str">
        <f t="shared" si="82"/>
        <v>001</v>
      </c>
      <c r="I229" t="str">
        <f t="shared" si="83"/>
        <v>4100401</v>
      </c>
      <c r="J229">
        <f>79200</f>
        <v>79200</v>
      </c>
      <c r="K229" t="str">
        <f t="shared" si="87"/>
        <v>個</v>
      </c>
      <c r="L229" t="str">
        <f t="shared" si="88"/>
        <v>3600116</v>
      </c>
      <c r="M229" t="str">
        <f>""</f>
        <v/>
      </c>
    </row>
    <row r="230" spans="1:13" x14ac:dyDescent="0.15">
      <c r="A230" t="str">
        <f t="shared" si="72"/>
        <v>1851110500</v>
      </c>
      <c r="B230" t="str">
        <f t="shared" si="73"/>
        <v>安佐南・区政調整</v>
      </c>
      <c r="C230" t="str">
        <f>"03ﾌ02401"</f>
        <v>03ﾌ02401</v>
      </c>
      <c r="D230" t="str">
        <f>"プロジェクター"</f>
        <v>プロジェクター</v>
      </c>
      <c r="E230" t="str">
        <f>"ＳＯＮＹ　ＶＰＬ－ＦＸ４０"</f>
        <v>ＳＯＮＹ　ＶＰＬ－ＦＸ４０</v>
      </c>
      <c r="F230" t="str">
        <f t="shared" si="74"/>
        <v>００６０</v>
      </c>
      <c r="G230" t="str">
        <f>"4190004780"</f>
        <v>4190004780</v>
      </c>
      <c r="H230" t="str">
        <f t="shared" si="82"/>
        <v>001</v>
      </c>
      <c r="I230" t="str">
        <f>"4190926"</f>
        <v>4190926</v>
      </c>
      <c r="J230">
        <f>363300</f>
        <v>363300</v>
      </c>
      <c r="K230" t="str">
        <f t="shared" si="87"/>
        <v>個</v>
      </c>
      <c r="L230" t="str">
        <f>"4190926"</f>
        <v>4190926</v>
      </c>
      <c r="M230" t="str">
        <f>""</f>
        <v/>
      </c>
    </row>
    <row r="231" spans="1:13" x14ac:dyDescent="0.15">
      <c r="A231" t="str">
        <f t="shared" si="72"/>
        <v>1851110500</v>
      </c>
      <c r="B231" t="str">
        <f t="shared" si="73"/>
        <v>安佐南・区政調整</v>
      </c>
      <c r="C231" t="str">
        <f>"03ﾌ02401"</f>
        <v>03ﾌ02401</v>
      </c>
      <c r="D231" t="str">
        <f>"プロジェクター"</f>
        <v>プロジェクター</v>
      </c>
      <c r="E231" t="str">
        <f>"ＥＰＳＯＮ　ＥＢ－１７７１Ｗ"</f>
        <v>ＥＰＳＯＮ　ＥＢ－１７７１Ｗ</v>
      </c>
      <c r="F231" t="str">
        <f t="shared" si="74"/>
        <v>００６０</v>
      </c>
      <c r="G231" t="str">
        <f>"4250003447"</f>
        <v>4250003447</v>
      </c>
      <c r="H231" t="str">
        <f t="shared" si="82"/>
        <v>001</v>
      </c>
      <c r="I231" t="str">
        <f>"4251022"</f>
        <v>4251022</v>
      </c>
      <c r="J231">
        <f>131040</f>
        <v>131040</v>
      </c>
      <c r="K231" t="str">
        <f>"台"</f>
        <v>台</v>
      </c>
      <c r="L231" t="str">
        <f>"4251022"</f>
        <v>4251022</v>
      </c>
      <c r="M231" t="str">
        <f>"4251022"</f>
        <v>4251022</v>
      </c>
    </row>
    <row r="232" spans="1:13" x14ac:dyDescent="0.15">
      <c r="A232" t="str">
        <f t="shared" si="72"/>
        <v>1851110500</v>
      </c>
      <c r="B232" t="str">
        <f t="shared" si="73"/>
        <v>安佐南・区政調整</v>
      </c>
      <c r="C232" t="str">
        <f>"03ﾑ00104"</f>
        <v>03ﾑ00104</v>
      </c>
      <c r="D232" t="str">
        <f>"ワイヤレスマイクロホン"</f>
        <v>ワイヤレスマイクロホン</v>
      </c>
      <c r="E232" t="str">
        <f>"ユニペックス　ＷＭ－３１１"</f>
        <v>ユニペックス　ＷＭ－３１１</v>
      </c>
      <c r="F232" t="str">
        <f t="shared" si="74"/>
        <v>００６０</v>
      </c>
      <c r="G232" t="str">
        <f>"4070002967"</f>
        <v>4070002967</v>
      </c>
      <c r="H232" t="str">
        <f t="shared" si="82"/>
        <v>001</v>
      </c>
      <c r="I232" t="str">
        <f>"4100401"</f>
        <v>4100401</v>
      </c>
      <c r="J232">
        <f>21575</f>
        <v>21575</v>
      </c>
      <c r="K232" t="str">
        <f t="shared" ref="K232:K240" si="89">"個"</f>
        <v>個</v>
      </c>
      <c r="L232" t="str">
        <f>"4070502"</f>
        <v>4070502</v>
      </c>
      <c r="M232" t="str">
        <f>"4070502"</f>
        <v>4070502</v>
      </c>
    </row>
    <row r="233" spans="1:13" x14ac:dyDescent="0.15">
      <c r="A233" t="str">
        <f t="shared" si="72"/>
        <v>1851110500</v>
      </c>
      <c r="B233" t="str">
        <f t="shared" si="73"/>
        <v>安佐南・区政調整</v>
      </c>
      <c r="C233" t="str">
        <f>"03ﾑ00104"</f>
        <v>03ﾑ00104</v>
      </c>
      <c r="D233" t="str">
        <f>"ワイヤレスマイクロホン"</f>
        <v>ワイヤレスマイクロホン</v>
      </c>
      <c r="E233" t="str">
        <f>"ＷＸ－４２１２Ｃ"</f>
        <v>ＷＸ－４２１２Ｃ</v>
      </c>
      <c r="F233" t="str">
        <f t="shared" si="74"/>
        <v>００６０</v>
      </c>
      <c r="G233" t="str">
        <f>"4200003796"</f>
        <v>4200003796</v>
      </c>
      <c r="H233" t="str">
        <f t="shared" si="82"/>
        <v>001</v>
      </c>
      <c r="I233" t="str">
        <f>"4200604"</f>
        <v>4200604</v>
      </c>
      <c r="J233">
        <f>40425</f>
        <v>40425</v>
      </c>
      <c r="K233" t="str">
        <f t="shared" si="89"/>
        <v>個</v>
      </c>
      <c r="L233" t="str">
        <f>"4200604"</f>
        <v>4200604</v>
      </c>
      <c r="M233" t="str">
        <f>""</f>
        <v/>
      </c>
    </row>
    <row r="234" spans="1:13" x14ac:dyDescent="0.15">
      <c r="A234" t="str">
        <f t="shared" si="72"/>
        <v>1851110500</v>
      </c>
      <c r="B234" t="str">
        <f t="shared" si="73"/>
        <v>安佐南・区政調整</v>
      </c>
      <c r="C234" t="str">
        <f>"03ﾑ00104"</f>
        <v>03ﾑ00104</v>
      </c>
      <c r="D234" t="str">
        <f>"ワイヤレスマイクロホン"</f>
        <v>ワイヤレスマイクロホン</v>
      </c>
      <c r="E234" t="str">
        <f>"ＷＸ－４２１２Ｃ"</f>
        <v>ＷＸ－４２１２Ｃ</v>
      </c>
      <c r="F234" t="str">
        <f t="shared" si="74"/>
        <v>００６０</v>
      </c>
      <c r="G234" t="str">
        <f>"4200003797"</f>
        <v>4200003797</v>
      </c>
      <c r="H234" t="str">
        <f t="shared" si="82"/>
        <v>001</v>
      </c>
      <c r="I234" t="str">
        <f>"4200604"</f>
        <v>4200604</v>
      </c>
      <c r="J234">
        <f>40425</f>
        <v>40425</v>
      </c>
      <c r="K234" t="str">
        <f t="shared" si="89"/>
        <v>個</v>
      </c>
      <c r="L234" t="str">
        <f>"4200604"</f>
        <v>4200604</v>
      </c>
      <c r="M234" t="str">
        <f>""</f>
        <v/>
      </c>
    </row>
    <row r="235" spans="1:13" x14ac:dyDescent="0.15">
      <c r="A235" t="str">
        <f t="shared" si="72"/>
        <v>1851110500</v>
      </c>
      <c r="B235" t="str">
        <f t="shared" si="73"/>
        <v>安佐南・区政調整</v>
      </c>
      <c r="C235" t="str">
        <f>"03ﾑ00104"</f>
        <v>03ﾑ00104</v>
      </c>
      <c r="D235" t="str">
        <f>"ワイヤレスマイクロホン"</f>
        <v>ワイヤレスマイクロホン</v>
      </c>
      <c r="E235" t="str">
        <f>"ＷＸ－４３００Ｂ"</f>
        <v>ＷＸ－４３００Ｂ</v>
      </c>
      <c r="F235" t="str">
        <f t="shared" si="74"/>
        <v>００６０</v>
      </c>
      <c r="G235" t="str">
        <f>"4200003798"</f>
        <v>4200003798</v>
      </c>
      <c r="H235" t="str">
        <f t="shared" si="82"/>
        <v>001</v>
      </c>
      <c r="I235" t="str">
        <f>"4200604"</f>
        <v>4200604</v>
      </c>
      <c r="J235">
        <f>30450</f>
        <v>30450</v>
      </c>
      <c r="K235" t="str">
        <f t="shared" si="89"/>
        <v>個</v>
      </c>
      <c r="L235" t="str">
        <f>"4200604"</f>
        <v>4200604</v>
      </c>
      <c r="M235" t="str">
        <f>""</f>
        <v/>
      </c>
    </row>
    <row r="236" spans="1:13" x14ac:dyDescent="0.15">
      <c r="A236" t="str">
        <f t="shared" si="72"/>
        <v>1851110500</v>
      </c>
      <c r="B236" t="str">
        <f t="shared" si="73"/>
        <v>安佐南・区政調整</v>
      </c>
      <c r="C236" t="str">
        <f>"03ﾑ00104"</f>
        <v>03ﾑ00104</v>
      </c>
      <c r="D236" t="str">
        <f>"ワイヤレスマイクロホン"</f>
        <v>ワイヤレスマイクロホン</v>
      </c>
      <c r="E236" t="str">
        <f>"ＷＸ－４３００Ｂ"</f>
        <v>ＷＸ－４３００Ｂ</v>
      </c>
      <c r="F236" t="str">
        <f t="shared" si="74"/>
        <v>００６０</v>
      </c>
      <c r="G236" t="str">
        <f>"4200003799"</f>
        <v>4200003799</v>
      </c>
      <c r="H236" t="str">
        <f t="shared" si="82"/>
        <v>001</v>
      </c>
      <c r="I236" t="str">
        <f>"4200604"</f>
        <v>4200604</v>
      </c>
      <c r="J236">
        <f>30450</f>
        <v>30450</v>
      </c>
      <c r="K236" t="str">
        <f t="shared" si="89"/>
        <v>個</v>
      </c>
      <c r="L236" t="str">
        <f>"4200604"</f>
        <v>4200604</v>
      </c>
      <c r="M236" t="str">
        <f>""</f>
        <v/>
      </c>
    </row>
    <row r="237" spans="1:13" x14ac:dyDescent="0.15">
      <c r="A237" t="str">
        <f t="shared" si="72"/>
        <v>1851110500</v>
      </c>
      <c r="B237" t="str">
        <f t="shared" si="73"/>
        <v>安佐南・区政調整</v>
      </c>
      <c r="C237" t="str">
        <f>"03ﾑ00105"</f>
        <v>03ﾑ00105</v>
      </c>
      <c r="D237" t="str">
        <f>"ワイヤレス受信器"</f>
        <v>ワイヤレス受信器</v>
      </c>
      <c r="E237" t="str">
        <f>"ＷＸ－４９６５"</f>
        <v>ＷＸ－４９６５</v>
      </c>
      <c r="F237" t="str">
        <f t="shared" si="74"/>
        <v>００６０</v>
      </c>
      <c r="G237" t="str">
        <f>"4200003800"</f>
        <v>4200003800</v>
      </c>
      <c r="H237" t="str">
        <f t="shared" si="82"/>
        <v>001</v>
      </c>
      <c r="I237" t="str">
        <f>"4200604"</f>
        <v>4200604</v>
      </c>
      <c r="J237">
        <f>27300</f>
        <v>27300</v>
      </c>
      <c r="K237" t="str">
        <f t="shared" si="89"/>
        <v>個</v>
      </c>
      <c r="L237" t="str">
        <f>"4200604"</f>
        <v>4200604</v>
      </c>
      <c r="M237" t="str">
        <f>""</f>
        <v/>
      </c>
    </row>
    <row r="238" spans="1:13" x14ac:dyDescent="0.15">
      <c r="A238" t="str">
        <f t="shared" si="72"/>
        <v>1851110500</v>
      </c>
      <c r="B238" t="str">
        <f t="shared" si="73"/>
        <v>安佐南・区政調整</v>
      </c>
      <c r="C238" t="str">
        <f>"03ﾛ00402"</f>
        <v>03ﾛ00402</v>
      </c>
      <c r="D238" t="str">
        <f>"電気炉"</f>
        <v>電気炉</v>
      </c>
      <c r="E238" t="str">
        <f>"七宝電気炉ＢＳロスター２型"</f>
        <v>七宝電気炉ＢＳロスター２型</v>
      </c>
      <c r="F238" t="str">
        <f t="shared" si="74"/>
        <v>００６０</v>
      </c>
      <c r="G238" t="str">
        <f>"3590002321"</f>
        <v>3590002321</v>
      </c>
      <c r="H238" t="str">
        <f t="shared" si="82"/>
        <v>001</v>
      </c>
      <c r="I238" t="str">
        <f>"4100401"</f>
        <v>4100401</v>
      </c>
      <c r="J238">
        <f>78000</f>
        <v>78000</v>
      </c>
      <c r="K238" t="str">
        <f t="shared" si="89"/>
        <v>個</v>
      </c>
      <c r="L238" t="str">
        <f>"3600108"</f>
        <v>3600108</v>
      </c>
      <c r="M238" t="str">
        <f>""</f>
        <v/>
      </c>
    </row>
    <row r="239" spans="1:13" x14ac:dyDescent="0.15">
      <c r="A239" t="str">
        <f t="shared" si="72"/>
        <v>1851110500</v>
      </c>
      <c r="B239" t="str">
        <f t="shared" si="73"/>
        <v>安佐南・区政調整</v>
      </c>
      <c r="C239" t="str">
        <f>"03ﾛ00402"</f>
        <v>03ﾛ00402</v>
      </c>
      <c r="D239" t="str">
        <f>"電気炉"</f>
        <v>電気炉</v>
      </c>
      <c r="E239" t="str">
        <f>"七宝電気炉ＢＳロスター１型"</f>
        <v>七宝電気炉ＢＳロスター１型</v>
      </c>
      <c r="F239" t="str">
        <f t="shared" si="74"/>
        <v>００６０</v>
      </c>
      <c r="G239" t="str">
        <f>"3590002322"</f>
        <v>3590002322</v>
      </c>
      <c r="H239" t="str">
        <f t="shared" si="82"/>
        <v>001</v>
      </c>
      <c r="I239" t="str">
        <f>"4100401"</f>
        <v>4100401</v>
      </c>
      <c r="J239">
        <f>108800</f>
        <v>108800</v>
      </c>
      <c r="K239" t="str">
        <f t="shared" si="89"/>
        <v>個</v>
      </c>
      <c r="L239" t="str">
        <f>"3600108"</f>
        <v>3600108</v>
      </c>
      <c r="M239" t="str">
        <f>""</f>
        <v/>
      </c>
    </row>
    <row r="240" spans="1:13" x14ac:dyDescent="0.15">
      <c r="A240" t="str">
        <f t="shared" si="72"/>
        <v>1851110500</v>
      </c>
      <c r="B240" t="str">
        <f t="shared" si="73"/>
        <v>安佐南・区政調整</v>
      </c>
      <c r="C240" t="str">
        <f>"03ﾛ00402"</f>
        <v>03ﾛ00402</v>
      </c>
      <c r="D240" t="str">
        <f>"電気炉"</f>
        <v>電気炉</v>
      </c>
      <c r="E240" t="str">
        <f>"ＤＦＡ－０８型"</f>
        <v>ＤＦＡ－０８型</v>
      </c>
      <c r="F240" t="str">
        <f t="shared" si="74"/>
        <v>００６０</v>
      </c>
      <c r="G240" t="str">
        <f>"4200003801"</f>
        <v>4200003801</v>
      </c>
      <c r="H240" t="str">
        <f t="shared" si="82"/>
        <v>001</v>
      </c>
      <c r="I240" t="str">
        <f>"4210318"</f>
        <v>4210318</v>
      </c>
      <c r="J240">
        <f>733950</f>
        <v>733950</v>
      </c>
      <c r="K240" t="str">
        <f t="shared" si="89"/>
        <v>個</v>
      </c>
      <c r="L240" t="str">
        <f>"4210318"</f>
        <v>4210318</v>
      </c>
      <c r="M240" t="str">
        <f>""</f>
        <v/>
      </c>
    </row>
    <row r="241" spans="1:13" x14ac:dyDescent="0.15">
      <c r="A241" t="str">
        <f t="shared" si="72"/>
        <v>1851110500</v>
      </c>
      <c r="B241" t="str">
        <f t="shared" si="73"/>
        <v>安佐南・区政調整</v>
      </c>
      <c r="C241" t="str">
        <f>"04ｼ05001"</f>
        <v>04ｼ05001</v>
      </c>
      <c r="D241" t="str">
        <f>"自動体外式除細動器"</f>
        <v>自動体外式除細動器</v>
      </c>
      <c r="E241" t="str">
        <f>"カルジオライフＡＥＤ－２１００"</f>
        <v>カルジオライフＡＥＤ－２１００</v>
      </c>
      <c r="F241" t="str">
        <f t="shared" si="74"/>
        <v>００６０</v>
      </c>
      <c r="G241" t="str">
        <f>"4250004959"</f>
        <v>4250004959</v>
      </c>
      <c r="H241" t="str">
        <f>"004"</f>
        <v>004</v>
      </c>
      <c r="I241" t="str">
        <f>"4260418"</f>
        <v>4260418</v>
      </c>
      <c r="J241">
        <f>84000</f>
        <v>84000</v>
      </c>
      <c r="K241" t="str">
        <f>"台"</f>
        <v>台</v>
      </c>
      <c r="L241" t="str">
        <f>"4260219"</f>
        <v>4260219</v>
      </c>
      <c r="M241" t="str">
        <f>"4260219"</f>
        <v>4260219</v>
      </c>
    </row>
    <row r="242" spans="1:13" x14ac:dyDescent="0.15">
      <c r="A242" t="str">
        <f t="shared" si="72"/>
        <v>1851110500</v>
      </c>
      <c r="B242" t="str">
        <f t="shared" si="73"/>
        <v>安佐南・区政調整</v>
      </c>
      <c r="C242" t="str">
        <f>"05ｶ00101"</f>
        <v>05ｶ00101</v>
      </c>
      <c r="D242" t="str">
        <f>"花台"</f>
        <v>花台</v>
      </c>
      <c r="E242" t="str">
        <f>"イトーＦＰＢ‐１５Ｒ"</f>
        <v>イトーＦＰＢ‐１５Ｒ</v>
      </c>
      <c r="F242" t="str">
        <f t="shared" si="74"/>
        <v>００６０</v>
      </c>
      <c r="G242" t="str">
        <f>"3590002323"</f>
        <v>3590002323</v>
      </c>
      <c r="H242" t="str">
        <f t="shared" ref="H242:H273" si="90">"001"</f>
        <v>001</v>
      </c>
      <c r="I242" t="str">
        <f>"4100401"</f>
        <v>4100401</v>
      </c>
      <c r="J242">
        <f>32300</f>
        <v>32300</v>
      </c>
      <c r="K242" t="str">
        <f>"個"</f>
        <v>個</v>
      </c>
      <c r="L242" t="str">
        <f>"3600110"</f>
        <v>3600110</v>
      </c>
      <c r="M242" t="str">
        <f>""</f>
        <v/>
      </c>
    </row>
    <row r="243" spans="1:13" x14ac:dyDescent="0.15">
      <c r="A243" t="str">
        <f t="shared" si="72"/>
        <v>1851110500</v>
      </c>
      <c r="B243" t="str">
        <f t="shared" si="73"/>
        <v>安佐南・区政調整</v>
      </c>
      <c r="C243" t="str">
        <f>"05ｶ00602"</f>
        <v>05ｶ00602</v>
      </c>
      <c r="D243" t="str">
        <f>"ピアノ"</f>
        <v>ピアノ</v>
      </c>
      <c r="E243" t="str">
        <f>"フルコンサートグランドピアノ"</f>
        <v>フルコンサートグランドピアノ</v>
      </c>
      <c r="F243" t="str">
        <f t="shared" si="74"/>
        <v>００６０</v>
      </c>
      <c r="G243" t="str">
        <f>"3590002324"</f>
        <v>3590002324</v>
      </c>
      <c r="H243" t="str">
        <f t="shared" si="90"/>
        <v>001</v>
      </c>
      <c r="I243" t="str">
        <f>"4100401"</f>
        <v>4100401</v>
      </c>
      <c r="J243">
        <f>4230000</f>
        <v>4230000</v>
      </c>
      <c r="K243" t="str">
        <f>"台"</f>
        <v>台</v>
      </c>
      <c r="L243" t="str">
        <f>"3600108"</f>
        <v>3600108</v>
      </c>
      <c r="M243" t="str">
        <f>""</f>
        <v/>
      </c>
    </row>
    <row r="244" spans="1:13" x14ac:dyDescent="0.15">
      <c r="A244" t="str">
        <f t="shared" si="72"/>
        <v>1851110500</v>
      </c>
      <c r="B244" t="str">
        <f t="shared" si="73"/>
        <v>安佐南・区政調整</v>
      </c>
      <c r="C244" t="str">
        <f>"05ｶ00602"</f>
        <v>05ｶ00602</v>
      </c>
      <c r="D244" t="str">
        <f>"ピアノ"</f>
        <v>ピアノ</v>
      </c>
      <c r="E244" t="str">
        <f>"アップライトピアノ"</f>
        <v>アップライトピアノ</v>
      </c>
      <c r="F244" t="str">
        <f t="shared" si="74"/>
        <v>００６０</v>
      </c>
      <c r="G244" t="str">
        <f>"4240004387"</f>
        <v>4240004387</v>
      </c>
      <c r="H244" t="str">
        <f t="shared" si="90"/>
        <v>001</v>
      </c>
      <c r="I244" t="str">
        <f>"4241029"</f>
        <v>4241029</v>
      </c>
      <c r="J244">
        <f>749700</f>
        <v>749700</v>
      </c>
      <c r="K244" t="str">
        <f>"台"</f>
        <v>台</v>
      </c>
      <c r="L244" t="str">
        <f>"4241029"</f>
        <v>4241029</v>
      </c>
      <c r="M244" t="str">
        <f>"4241029"</f>
        <v>4241029</v>
      </c>
    </row>
    <row r="245" spans="1:13" x14ac:dyDescent="0.15">
      <c r="A245" t="str">
        <f t="shared" si="72"/>
        <v>1851110500</v>
      </c>
      <c r="B245" t="str">
        <f t="shared" si="73"/>
        <v>安佐南・区政調整</v>
      </c>
      <c r="C245" t="str">
        <f>"05ｶ00647"</f>
        <v>05ｶ00647</v>
      </c>
      <c r="D245" t="str">
        <f>"エレクトーン"</f>
        <v>エレクトーン</v>
      </c>
      <c r="E245" t="str">
        <f>"ヤマハエレクトーンＦＥ５０"</f>
        <v>ヤマハエレクトーンＦＥ５０</v>
      </c>
      <c r="F245" t="str">
        <f t="shared" si="74"/>
        <v>００６０</v>
      </c>
      <c r="G245" t="str">
        <f>"3590002325"</f>
        <v>3590002325</v>
      </c>
      <c r="H245" t="str">
        <f t="shared" si="90"/>
        <v>001</v>
      </c>
      <c r="I245" t="str">
        <f>"4100401"</f>
        <v>4100401</v>
      </c>
      <c r="J245">
        <f>370000</f>
        <v>370000</v>
      </c>
      <c r="K245" t="str">
        <f>"台"</f>
        <v>台</v>
      </c>
      <c r="L245" t="str">
        <f>"3600117"</f>
        <v>3600117</v>
      </c>
      <c r="M245" t="str">
        <f>""</f>
        <v/>
      </c>
    </row>
    <row r="246" spans="1:13" x14ac:dyDescent="0.15">
      <c r="A246" t="str">
        <f t="shared" si="72"/>
        <v>1851110500</v>
      </c>
      <c r="B246" t="str">
        <f t="shared" si="73"/>
        <v>安佐南・区政調整</v>
      </c>
      <c r="C246" t="str">
        <f>"05ｸ01101"</f>
        <v>05ｸ01101</v>
      </c>
      <c r="D246" t="str">
        <f>"くず入れ"</f>
        <v>くず入れ</v>
      </c>
      <c r="E246" t="str">
        <f>"レインダストポート"</f>
        <v>レインダストポート</v>
      </c>
      <c r="F246" t="str">
        <f t="shared" si="74"/>
        <v>００６０</v>
      </c>
      <c r="G246" t="str">
        <f>"4060004203"</f>
        <v>4060004203</v>
      </c>
      <c r="H246" t="str">
        <f t="shared" si="90"/>
        <v>001</v>
      </c>
      <c r="I246" t="str">
        <f>"4100401"</f>
        <v>4100401</v>
      </c>
      <c r="J246">
        <f>31415</f>
        <v>31415</v>
      </c>
      <c r="K246" t="str">
        <f>"個"</f>
        <v>個</v>
      </c>
      <c r="L246" t="str">
        <f>"4060608"</f>
        <v>4060608</v>
      </c>
      <c r="M246" t="str">
        <f>"4060608"</f>
        <v>4060608</v>
      </c>
    </row>
    <row r="247" spans="1:13" x14ac:dyDescent="0.15">
      <c r="A247" t="str">
        <f t="shared" si="72"/>
        <v>1851110500</v>
      </c>
      <c r="B247" t="str">
        <f t="shared" si="73"/>
        <v>安佐南・区政調整</v>
      </c>
      <c r="C247" t="str">
        <f>"05ｸ01101"</f>
        <v>05ｸ01101</v>
      </c>
      <c r="D247" t="str">
        <f>"くず入れ"</f>
        <v>くず入れ</v>
      </c>
      <c r="E247" t="str">
        <f>"レインダストポート"</f>
        <v>レインダストポート</v>
      </c>
      <c r="F247" t="str">
        <f t="shared" si="74"/>
        <v>００６０</v>
      </c>
      <c r="G247" t="str">
        <f>"4060004204"</f>
        <v>4060004204</v>
      </c>
      <c r="H247" t="str">
        <f t="shared" si="90"/>
        <v>001</v>
      </c>
      <c r="I247" t="str">
        <f>"4100401"</f>
        <v>4100401</v>
      </c>
      <c r="J247">
        <f>31415</f>
        <v>31415</v>
      </c>
      <c r="K247" t="str">
        <f>"個"</f>
        <v>個</v>
      </c>
      <c r="L247" t="str">
        <f>"4060608"</f>
        <v>4060608</v>
      </c>
      <c r="M247" t="str">
        <f>"4060608"</f>
        <v>4060608</v>
      </c>
    </row>
    <row r="248" spans="1:13" x14ac:dyDescent="0.15">
      <c r="A248" t="str">
        <f t="shared" si="72"/>
        <v>1851110500</v>
      </c>
      <c r="B248" t="str">
        <f t="shared" si="73"/>
        <v>安佐南・区政調整</v>
      </c>
      <c r="C248" t="str">
        <f>"05ｺ01301"</f>
        <v>05ｺ01301</v>
      </c>
      <c r="D248" t="str">
        <f>"コンパクトディスクプレーヤー"</f>
        <v>コンパクトディスクプレーヤー</v>
      </c>
      <c r="E248" t="str">
        <f>"ＴＡＳＣＡＭ　ＣＤ－０１Ｕ"</f>
        <v>ＴＡＳＣＡＭ　ＣＤ－０１Ｕ</v>
      </c>
      <c r="F248" t="str">
        <f t="shared" si="74"/>
        <v>００６０</v>
      </c>
      <c r="G248" t="str">
        <f>"4200003802"</f>
        <v>4200003802</v>
      </c>
      <c r="H248" t="str">
        <f t="shared" si="90"/>
        <v>001</v>
      </c>
      <c r="I248" t="str">
        <f>"4200604"</f>
        <v>4200604</v>
      </c>
      <c r="J248">
        <f>44625</f>
        <v>44625</v>
      </c>
      <c r="K248" t="str">
        <f>"台"</f>
        <v>台</v>
      </c>
      <c r="L248" t="str">
        <f>"4200604"</f>
        <v>4200604</v>
      </c>
      <c r="M248" t="str">
        <f>""</f>
        <v/>
      </c>
    </row>
    <row r="249" spans="1:13" x14ac:dyDescent="0.15">
      <c r="A249" t="str">
        <f t="shared" si="72"/>
        <v>1851110500</v>
      </c>
      <c r="B249" t="str">
        <f t="shared" si="73"/>
        <v>安佐南・区政調整</v>
      </c>
      <c r="C249" t="str">
        <f>"05ｼ00103"</f>
        <v>05ｼ00103</v>
      </c>
      <c r="D249" t="str">
        <f>"ベビーベット"</f>
        <v>ベビーベット</v>
      </c>
      <c r="E249" t="str">
        <f>"トッケン２３‐０２６"</f>
        <v>トッケン２３‐０２６</v>
      </c>
      <c r="F249" t="str">
        <f t="shared" si="74"/>
        <v>００６０</v>
      </c>
      <c r="G249" t="str">
        <f>"3590002327"</f>
        <v>3590002327</v>
      </c>
      <c r="H249" t="str">
        <f t="shared" si="90"/>
        <v>001</v>
      </c>
      <c r="I249" t="str">
        <f>"4100401"</f>
        <v>4100401</v>
      </c>
      <c r="J249">
        <f>20800</f>
        <v>20800</v>
      </c>
      <c r="K249" t="str">
        <f>"台"</f>
        <v>台</v>
      </c>
      <c r="L249" t="str">
        <f>"3600108"</f>
        <v>3600108</v>
      </c>
      <c r="M249" t="str">
        <f>""</f>
        <v/>
      </c>
    </row>
    <row r="250" spans="1:13" x14ac:dyDescent="0.15">
      <c r="A250" t="str">
        <f t="shared" si="72"/>
        <v>1851110500</v>
      </c>
      <c r="B250" t="str">
        <f t="shared" si="73"/>
        <v>安佐南・区政調整</v>
      </c>
      <c r="C250" t="str">
        <f>"05ｼ00103"</f>
        <v>05ｼ00103</v>
      </c>
      <c r="D250" t="str">
        <f>"ベビーベット"</f>
        <v>ベビーベット</v>
      </c>
      <c r="E250" t="str">
        <f>"ベビーベッド"</f>
        <v>ベビーベッド</v>
      </c>
      <c r="F250" t="str">
        <f t="shared" si="74"/>
        <v>００６０</v>
      </c>
      <c r="G250" t="str">
        <f>"4060004205"</f>
        <v>4060004205</v>
      </c>
      <c r="H250" t="str">
        <f t="shared" si="90"/>
        <v>001</v>
      </c>
      <c r="I250" t="str">
        <f>"4100401"</f>
        <v>4100401</v>
      </c>
      <c r="J250">
        <f>34196</f>
        <v>34196</v>
      </c>
      <c r="K250" t="str">
        <f>"台"</f>
        <v>台</v>
      </c>
      <c r="L250" t="str">
        <f>"4070224"</f>
        <v>4070224</v>
      </c>
      <c r="M250" t="str">
        <f>""</f>
        <v/>
      </c>
    </row>
    <row r="251" spans="1:13" x14ac:dyDescent="0.15">
      <c r="A251" t="str">
        <f t="shared" si="72"/>
        <v>1851110500</v>
      </c>
      <c r="B251" t="str">
        <f t="shared" si="73"/>
        <v>安佐南・区政調整</v>
      </c>
      <c r="C251" t="str">
        <f>"05ｼ00202"</f>
        <v>05ｼ00202</v>
      </c>
      <c r="D251" t="str">
        <f>"カーペット"</f>
        <v>カーペット</v>
      </c>
      <c r="E251" t="str">
        <f>"３６尺×６尺（緋毛氈）"</f>
        <v>３６尺×６尺（緋毛氈）</v>
      </c>
      <c r="F251" t="str">
        <f t="shared" si="74"/>
        <v>００６０</v>
      </c>
      <c r="G251" t="str">
        <f>"4250003446"</f>
        <v>4250003446</v>
      </c>
      <c r="H251" t="str">
        <f t="shared" si="90"/>
        <v>001</v>
      </c>
      <c r="I251" t="str">
        <f>"4250920"</f>
        <v>4250920</v>
      </c>
      <c r="J251">
        <f>48510</f>
        <v>48510</v>
      </c>
      <c r="K251" t="str">
        <f>"枚"</f>
        <v>枚</v>
      </c>
      <c r="L251" t="str">
        <f>"4250920"</f>
        <v>4250920</v>
      </c>
      <c r="M251" t="str">
        <f>"4250920"</f>
        <v>4250920</v>
      </c>
    </row>
    <row r="252" spans="1:13" x14ac:dyDescent="0.15">
      <c r="A252" t="str">
        <f t="shared" si="72"/>
        <v>1851110500</v>
      </c>
      <c r="B252" t="str">
        <f t="shared" si="73"/>
        <v>安佐南・区政調整</v>
      </c>
      <c r="C252" t="str">
        <f>"05ｼ00601"</f>
        <v>05ｼ00601</v>
      </c>
      <c r="D252" t="str">
        <f>"照明具"</f>
        <v>照明具</v>
      </c>
      <c r="E252" t="str">
        <f>"エフェクトマシン"</f>
        <v>エフェクトマシン</v>
      </c>
      <c r="F252" t="str">
        <f t="shared" si="74"/>
        <v>００６０</v>
      </c>
      <c r="G252" t="str">
        <f>"3590002328"</f>
        <v>3590002328</v>
      </c>
      <c r="H252" t="str">
        <f t="shared" si="90"/>
        <v>001</v>
      </c>
      <c r="I252" t="str">
        <f>"4100401"</f>
        <v>4100401</v>
      </c>
      <c r="J252">
        <f>123000</f>
        <v>123000</v>
      </c>
      <c r="K252" t="str">
        <f>"個"</f>
        <v>個</v>
      </c>
      <c r="L252" t="str">
        <f>"3600116"</f>
        <v>3600116</v>
      </c>
      <c r="M252" t="str">
        <f>""</f>
        <v/>
      </c>
    </row>
    <row r="253" spans="1:13" x14ac:dyDescent="0.15">
      <c r="A253" t="str">
        <f t="shared" si="72"/>
        <v>1851110500</v>
      </c>
      <c r="B253" t="str">
        <f t="shared" si="73"/>
        <v>安佐南・区政調整</v>
      </c>
      <c r="C253" t="str">
        <f>"05ｼ00601"</f>
        <v>05ｼ00601</v>
      </c>
      <c r="D253" t="str">
        <f>"照明具"</f>
        <v>照明具</v>
      </c>
      <c r="E253" t="str">
        <f>"エフェクトマシン"</f>
        <v>エフェクトマシン</v>
      </c>
      <c r="F253" t="str">
        <f t="shared" si="74"/>
        <v>００６０</v>
      </c>
      <c r="G253" t="str">
        <f>"3590002329"</f>
        <v>3590002329</v>
      </c>
      <c r="H253" t="str">
        <f t="shared" si="90"/>
        <v>001</v>
      </c>
      <c r="I253" t="str">
        <f>"4100401"</f>
        <v>4100401</v>
      </c>
      <c r="J253">
        <f>123000</f>
        <v>123000</v>
      </c>
      <c r="K253" t="str">
        <f>"個"</f>
        <v>個</v>
      </c>
      <c r="L253" t="str">
        <f>"3600116"</f>
        <v>3600116</v>
      </c>
      <c r="M253" t="str">
        <f>""</f>
        <v/>
      </c>
    </row>
    <row r="254" spans="1:13" x14ac:dyDescent="0.15">
      <c r="A254" t="str">
        <f t="shared" si="72"/>
        <v>1851110500</v>
      </c>
      <c r="B254" t="str">
        <f t="shared" si="73"/>
        <v>安佐南・区政調整</v>
      </c>
      <c r="C254" t="str">
        <f t="shared" ref="C254:C263" si="91">"05ｼ00602"</f>
        <v>05ｼ00602</v>
      </c>
      <c r="D254" t="str">
        <f t="shared" ref="D254:D263" si="92">"照明スタンド"</f>
        <v>照明スタンド</v>
      </c>
      <c r="E254" t="str">
        <f t="shared" ref="E254:E263" si="93">"松村電機ＳＰ－２"</f>
        <v>松村電機ＳＰ－２</v>
      </c>
      <c r="F254" t="str">
        <f t="shared" si="74"/>
        <v>００６０</v>
      </c>
      <c r="G254" t="str">
        <f>"4100005140"</f>
        <v>4100005140</v>
      </c>
      <c r="H254" t="str">
        <f t="shared" si="90"/>
        <v>001</v>
      </c>
      <c r="I254" t="str">
        <f t="shared" ref="I254:I263" si="94">"4100706"</f>
        <v>4100706</v>
      </c>
      <c r="J254">
        <f>25200</f>
        <v>25200</v>
      </c>
      <c r="K254" t="str">
        <f t="shared" ref="K254:K263" si="95">"台"</f>
        <v>台</v>
      </c>
      <c r="L254" t="str">
        <f t="shared" ref="L254:L263" si="96">"4100706"</f>
        <v>4100706</v>
      </c>
      <c r="M254" t="str">
        <f>""</f>
        <v/>
      </c>
    </row>
    <row r="255" spans="1:13" x14ac:dyDescent="0.15">
      <c r="A255" t="str">
        <f t="shared" si="72"/>
        <v>1851110500</v>
      </c>
      <c r="B255" t="str">
        <f t="shared" si="73"/>
        <v>安佐南・区政調整</v>
      </c>
      <c r="C255" t="str">
        <f t="shared" si="91"/>
        <v>05ｼ00602</v>
      </c>
      <c r="D255" t="str">
        <f t="shared" si="92"/>
        <v>照明スタンド</v>
      </c>
      <c r="E255" t="str">
        <f t="shared" si="93"/>
        <v>松村電機ＳＰ－２</v>
      </c>
      <c r="F255" t="str">
        <f t="shared" si="74"/>
        <v>００６０</v>
      </c>
      <c r="G255" t="str">
        <f>"4100005141"</f>
        <v>4100005141</v>
      </c>
      <c r="H255" t="str">
        <f t="shared" si="90"/>
        <v>001</v>
      </c>
      <c r="I255" t="str">
        <f t="shared" si="94"/>
        <v>4100706</v>
      </c>
      <c r="J255">
        <f>25200</f>
        <v>25200</v>
      </c>
      <c r="K255" t="str">
        <f t="shared" si="95"/>
        <v>台</v>
      </c>
      <c r="L255" t="str">
        <f t="shared" si="96"/>
        <v>4100706</v>
      </c>
      <c r="M255" t="str">
        <f>""</f>
        <v/>
      </c>
    </row>
    <row r="256" spans="1:13" x14ac:dyDescent="0.15">
      <c r="A256" t="str">
        <f t="shared" si="72"/>
        <v>1851110500</v>
      </c>
      <c r="B256" t="str">
        <f t="shared" si="73"/>
        <v>安佐南・区政調整</v>
      </c>
      <c r="C256" t="str">
        <f t="shared" si="91"/>
        <v>05ｼ00602</v>
      </c>
      <c r="D256" t="str">
        <f t="shared" si="92"/>
        <v>照明スタンド</v>
      </c>
      <c r="E256" t="str">
        <f t="shared" si="93"/>
        <v>松村電機ＳＰ－２</v>
      </c>
      <c r="F256" t="str">
        <f t="shared" si="74"/>
        <v>００６０</v>
      </c>
      <c r="G256" t="str">
        <f>"4100005142"</f>
        <v>4100005142</v>
      </c>
      <c r="H256" t="str">
        <f t="shared" si="90"/>
        <v>001</v>
      </c>
      <c r="I256" t="str">
        <f t="shared" si="94"/>
        <v>4100706</v>
      </c>
      <c r="J256">
        <f>25200</f>
        <v>25200</v>
      </c>
      <c r="K256" t="str">
        <f t="shared" si="95"/>
        <v>台</v>
      </c>
      <c r="L256" t="str">
        <f t="shared" si="96"/>
        <v>4100706</v>
      </c>
      <c r="M256" t="str">
        <f>""</f>
        <v/>
      </c>
    </row>
    <row r="257" spans="1:13" x14ac:dyDescent="0.15">
      <c r="A257" t="str">
        <f t="shared" si="72"/>
        <v>1851110500</v>
      </c>
      <c r="B257" t="str">
        <f t="shared" si="73"/>
        <v>安佐南・区政調整</v>
      </c>
      <c r="C257" t="str">
        <f t="shared" si="91"/>
        <v>05ｼ00602</v>
      </c>
      <c r="D257" t="str">
        <f t="shared" si="92"/>
        <v>照明スタンド</v>
      </c>
      <c r="E257" t="str">
        <f t="shared" si="93"/>
        <v>松村電機ＳＰ－２</v>
      </c>
      <c r="F257" t="str">
        <f t="shared" si="74"/>
        <v>００６０</v>
      </c>
      <c r="G257" t="str">
        <f>"4100005143"</f>
        <v>4100005143</v>
      </c>
      <c r="H257" t="str">
        <f t="shared" si="90"/>
        <v>001</v>
      </c>
      <c r="I257" t="str">
        <f t="shared" si="94"/>
        <v>4100706</v>
      </c>
      <c r="J257">
        <f>25200</f>
        <v>25200</v>
      </c>
      <c r="K257" t="str">
        <f t="shared" si="95"/>
        <v>台</v>
      </c>
      <c r="L257" t="str">
        <f t="shared" si="96"/>
        <v>4100706</v>
      </c>
      <c r="M257" t="str">
        <f>""</f>
        <v/>
      </c>
    </row>
    <row r="258" spans="1:13" x14ac:dyDescent="0.15">
      <c r="A258" t="str">
        <f t="shared" ref="A258:A321" si="97">"1851110500"</f>
        <v>1851110500</v>
      </c>
      <c r="B258" t="str">
        <f t="shared" ref="B258:B321" si="98">"安佐南・区政調整"</f>
        <v>安佐南・区政調整</v>
      </c>
      <c r="C258" t="str">
        <f t="shared" si="91"/>
        <v>05ｼ00602</v>
      </c>
      <c r="D258" t="str">
        <f t="shared" si="92"/>
        <v>照明スタンド</v>
      </c>
      <c r="E258" t="str">
        <f t="shared" si="93"/>
        <v>松村電機ＳＰ－２</v>
      </c>
      <c r="F258" t="str">
        <f t="shared" ref="F258:F321" si="99">"００６０"</f>
        <v>００６０</v>
      </c>
      <c r="G258" t="str">
        <f>"4100005144"</f>
        <v>4100005144</v>
      </c>
      <c r="H258" t="str">
        <f t="shared" si="90"/>
        <v>001</v>
      </c>
      <c r="I258" t="str">
        <f t="shared" si="94"/>
        <v>4100706</v>
      </c>
      <c r="J258">
        <f>25200</f>
        <v>25200</v>
      </c>
      <c r="K258" t="str">
        <f t="shared" si="95"/>
        <v>台</v>
      </c>
      <c r="L258" t="str">
        <f t="shared" si="96"/>
        <v>4100706</v>
      </c>
      <c r="M258" t="str">
        <f>""</f>
        <v/>
      </c>
    </row>
    <row r="259" spans="1:13" x14ac:dyDescent="0.15">
      <c r="A259" t="str">
        <f t="shared" si="97"/>
        <v>1851110500</v>
      </c>
      <c r="B259" t="str">
        <f t="shared" si="98"/>
        <v>安佐南・区政調整</v>
      </c>
      <c r="C259" t="str">
        <f t="shared" si="91"/>
        <v>05ｼ00602</v>
      </c>
      <c r="D259" t="str">
        <f t="shared" si="92"/>
        <v>照明スタンド</v>
      </c>
      <c r="E259" t="str">
        <f t="shared" si="93"/>
        <v>松村電機ＳＰ－２</v>
      </c>
      <c r="F259" t="str">
        <f t="shared" si="99"/>
        <v>００６０</v>
      </c>
      <c r="G259" t="str">
        <f>"4100005145"</f>
        <v>4100005145</v>
      </c>
      <c r="H259" t="str">
        <f t="shared" si="90"/>
        <v>001</v>
      </c>
      <c r="I259" t="str">
        <f t="shared" si="94"/>
        <v>4100706</v>
      </c>
      <c r="J259">
        <f>25200</f>
        <v>25200</v>
      </c>
      <c r="K259" t="str">
        <f t="shared" si="95"/>
        <v>台</v>
      </c>
      <c r="L259" t="str">
        <f t="shared" si="96"/>
        <v>4100706</v>
      </c>
      <c r="M259" t="str">
        <f>""</f>
        <v/>
      </c>
    </row>
    <row r="260" spans="1:13" x14ac:dyDescent="0.15">
      <c r="A260" t="str">
        <f t="shared" si="97"/>
        <v>1851110500</v>
      </c>
      <c r="B260" t="str">
        <f t="shared" si="98"/>
        <v>安佐南・区政調整</v>
      </c>
      <c r="C260" t="str">
        <f t="shared" si="91"/>
        <v>05ｼ00602</v>
      </c>
      <c r="D260" t="str">
        <f t="shared" si="92"/>
        <v>照明スタンド</v>
      </c>
      <c r="E260" t="str">
        <f t="shared" si="93"/>
        <v>松村電機ＳＰ－２</v>
      </c>
      <c r="F260" t="str">
        <f t="shared" si="99"/>
        <v>００６０</v>
      </c>
      <c r="G260" t="str">
        <f>"4100005146"</f>
        <v>4100005146</v>
      </c>
      <c r="H260" t="str">
        <f t="shared" si="90"/>
        <v>001</v>
      </c>
      <c r="I260" t="str">
        <f t="shared" si="94"/>
        <v>4100706</v>
      </c>
      <c r="J260">
        <f>25200</f>
        <v>25200</v>
      </c>
      <c r="K260" t="str">
        <f t="shared" si="95"/>
        <v>台</v>
      </c>
      <c r="L260" t="str">
        <f t="shared" si="96"/>
        <v>4100706</v>
      </c>
      <c r="M260" t="str">
        <f>""</f>
        <v/>
      </c>
    </row>
    <row r="261" spans="1:13" x14ac:dyDescent="0.15">
      <c r="A261" t="str">
        <f t="shared" si="97"/>
        <v>1851110500</v>
      </c>
      <c r="B261" t="str">
        <f t="shared" si="98"/>
        <v>安佐南・区政調整</v>
      </c>
      <c r="C261" t="str">
        <f t="shared" si="91"/>
        <v>05ｼ00602</v>
      </c>
      <c r="D261" t="str">
        <f t="shared" si="92"/>
        <v>照明スタンド</v>
      </c>
      <c r="E261" t="str">
        <f t="shared" si="93"/>
        <v>松村電機ＳＰ－２</v>
      </c>
      <c r="F261" t="str">
        <f t="shared" si="99"/>
        <v>００６０</v>
      </c>
      <c r="G261" t="str">
        <f>"4100005147"</f>
        <v>4100005147</v>
      </c>
      <c r="H261" t="str">
        <f t="shared" si="90"/>
        <v>001</v>
      </c>
      <c r="I261" t="str">
        <f t="shared" si="94"/>
        <v>4100706</v>
      </c>
      <c r="J261">
        <f>25200</f>
        <v>25200</v>
      </c>
      <c r="K261" t="str">
        <f t="shared" si="95"/>
        <v>台</v>
      </c>
      <c r="L261" t="str">
        <f t="shared" si="96"/>
        <v>4100706</v>
      </c>
      <c r="M261" t="str">
        <f>""</f>
        <v/>
      </c>
    </row>
    <row r="262" spans="1:13" x14ac:dyDescent="0.15">
      <c r="A262" t="str">
        <f t="shared" si="97"/>
        <v>1851110500</v>
      </c>
      <c r="B262" t="str">
        <f t="shared" si="98"/>
        <v>安佐南・区政調整</v>
      </c>
      <c r="C262" t="str">
        <f t="shared" si="91"/>
        <v>05ｼ00602</v>
      </c>
      <c r="D262" t="str">
        <f t="shared" si="92"/>
        <v>照明スタンド</v>
      </c>
      <c r="E262" t="str">
        <f t="shared" si="93"/>
        <v>松村電機ＳＰ－２</v>
      </c>
      <c r="F262" t="str">
        <f t="shared" si="99"/>
        <v>００６０</v>
      </c>
      <c r="G262" t="str">
        <f>"4100005148"</f>
        <v>4100005148</v>
      </c>
      <c r="H262" t="str">
        <f t="shared" si="90"/>
        <v>001</v>
      </c>
      <c r="I262" t="str">
        <f t="shared" si="94"/>
        <v>4100706</v>
      </c>
      <c r="J262">
        <f>25200</f>
        <v>25200</v>
      </c>
      <c r="K262" t="str">
        <f t="shared" si="95"/>
        <v>台</v>
      </c>
      <c r="L262" t="str">
        <f t="shared" si="96"/>
        <v>4100706</v>
      </c>
      <c r="M262" t="str">
        <f>""</f>
        <v/>
      </c>
    </row>
    <row r="263" spans="1:13" x14ac:dyDescent="0.15">
      <c r="A263" t="str">
        <f t="shared" si="97"/>
        <v>1851110500</v>
      </c>
      <c r="B263" t="str">
        <f t="shared" si="98"/>
        <v>安佐南・区政調整</v>
      </c>
      <c r="C263" t="str">
        <f t="shared" si="91"/>
        <v>05ｼ00602</v>
      </c>
      <c r="D263" t="str">
        <f t="shared" si="92"/>
        <v>照明スタンド</v>
      </c>
      <c r="E263" t="str">
        <f t="shared" si="93"/>
        <v>松村電機ＳＰ－２</v>
      </c>
      <c r="F263" t="str">
        <f t="shared" si="99"/>
        <v>００６０</v>
      </c>
      <c r="G263" t="str">
        <f>"4100005149"</f>
        <v>4100005149</v>
      </c>
      <c r="H263" t="str">
        <f t="shared" si="90"/>
        <v>001</v>
      </c>
      <c r="I263" t="str">
        <f t="shared" si="94"/>
        <v>4100706</v>
      </c>
      <c r="J263">
        <f>25200</f>
        <v>25200</v>
      </c>
      <c r="K263" t="str">
        <f t="shared" si="95"/>
        <v>台</v>
      </c>
      <c r="L263" t="str">
        <f t="shared" si="96"/>
        <v>4100706</v>
      </c>
      <c r="M263" t="str">
        <f>""</f>
        <v/>
      </c>
    </row>
    <row r="264" spans="1:13" x14ac:dyDescent="0.15">
      <c r="A264" t="str">
        <f t="shared" si="97"/>
        <v>1851110500</v>
      </c>
      <c r="B264" t="str">
        <f t="shared" si="98"/>
        <v>安佐南・区政調整</v>
      </c>
      <c r="C264" t="str">
        <f>"05ｼ02301"</f>
        <v>05ｼ02301</v>
      </c>
      <c r="D264" t="str">
        <f>"パーティション支柱"</f>
        <v>パーティション支柱</v>
      </c>
      <c r="E264" t="str">
        <f>"コクヨＧＢ‐ＰＳ６"</f>
        <v>コクヨＧＢ‐ＰＳ６</v>
      </c>
      <c r="F264" t="str">
        <f t="shared" si="99"/>
        <v>００６０</v>
      </c>
      <c r="G264" t="str">
        <f>"3590002330"</f>
        <v>3590002330</v>
      </c>
      <c r="H264" t="str">
        <f t="shared" si="90"/>
        <v>001</v>
      </c>
      <c r="I264" t="str">
        <f t="shared" ref="I264:I295" si="100">"4100401"</f>
        <v>4100401</v>
      </c>
      <c r="J264">
        <f>26000</f>
        <v>26000</v>
      </c>
      <c r="K264" t="str">
        <f>"本"</f>
        <v>本</v>
      </c>
      <c r="L264" t="str">
        <f>"3600108"</f>
        <v>3600108</v>
      </c>
      <c r="M264" t="str">
        <f>""</f>
        <v/>
      </c>
    </row>
    <row r="265" spans="1:13" x14ac:dyDescent="0.15">
      <c r="A265" t="str">
        <f t="shared" si="97"/>
        <v>1851110500</v>
      </c>
      <c r="B265" t="str">
        <f t="shared" si="98"/>
        <v>安佐南・区政調整</v>
      </c>
      <c r="C265" t="str">
        <f>"05ｼ02301"</f>
        <v>05ｼ02301</v>
      </c>
      <c r="D265" t="str">
        <f>"パーティション支柱"</f>
        <v>パーティション支柱</v>
      </c>
      <c r="E265" t="str">
        <f>"コクヨＧＢ‐ＰＳ６"</f>
        <v>コクヨＧＢ‐ＰＳ６</v>
      </c>
      <c r="F265" t="str">
        <f t="shared" si="99"/>
        <v>００６０</v>
      </c>
      <c r="G265" t="str">
        <f>"3590002331"</f>
        <v>3590002331</v>
      </c>
      <c r="H265" t="str">
        <f t="shared" si="90"/>
        <v>001</v>
      </c>
      <c r="I265" t="str">
        <f t="shared" si="100"/>
        <v>4100401</v>
      </c>
      <c r="J265">
        <f>26000</f>
        <v>26000</v>
      </c>
      <c r="K265" t="str">
        <f>"本"</f>
        <v>本</v>
      </c>
      <c r="L265" t="str">
        <f>"3600108"</f>
        <v>3600108</v>
      </c>
      <c r="M265" t="str">
        <f>""</f>
        <v/>
      </c>
    </row>
    <row r="266" spans="1:13" x14ac:dyDescent="0.15">
      <c r="A266" t="str">
        <f t="shared" si="97"/>
        <v>1851110500</v>
      </c>
      <c r="B266" t="str">
        <f t="shared" si="98"/>
        <v>安佐南・区政調整</v>
      </c>
      <c r="C266" t="str">
        <f>"05ｼ02301"</f>
        <v>05ｼ02301</v>
      </c>
      <c r="D266" t="str">
        <f>"パーティション支柱"</f>
        <v>パーティション支柱</v>
      </c>
      <c r="E266" t="str">
        <f>"コクヨＧＢ‐ＰＳ６"</f>
        <v>コクヨＧＢ‐ＰＳ６</v>
      </c>
      <c r="F266" t="str">
        <f t="shared" si="99"/>
        <v>００６０</v>
      </c>
      <c r="G266" t="str">
        <f>"3590002332"</f>
        <v>3590002332</v>
      </c>
      <c r="H266" t="str">
        <f t="shared" si="90"/>
        <v>001</v>
      </c>
      <c r="I266" t="str">
        <f t="shared" si="100"/>
        <v>4100401</v>
      </c>
      <c r="J266">
        <f>26000</f>
        <v>26000</v>
      </c>
      <c r="K266" t="str">
        <f>"本"</f>
        <v>本</v>
      </c>
      <c r="L266" t="str">
        <f>"3600108"</f>
        <v>3600108</v>
      </c>
      <c r="M266" t="str">
        <f>""</f>
        <v/>
      </c>
    </row>
    <row r="267" spans="1:13" x14ac:dyDescent="0.15">
      <c r="A267" t="str">
        <f t="shared" si="97"/>
        <v>1851110500</v>
      </c>
      <c r="B267" t="str">
        <f t="shared" si="98"/>
        <v>安佐南・区政調整</v>
      </c>
      <c r="C267" t="str">
        <f>"05ｼ02301"</f>
        <v>05ｼ02301</v>
      </c>
      <c r="D267" t="str">
        <f>"パーティション支柱"</f>
        <v>パーティション支柱</v>
      </c>
      <c r="E267" t="str">
        <f>"コクヨＧＢ‐ＰＳ６"</f>
        <v>コクヨＧＢ‐ＰＳ６</v>
      </c>
      <c r="F267" t="str">
        <f t="shared" si="99"/>
        <v>００６０</v>
      </c>
      <c r="G267" t="str">
        <f>"3590002333"</f>
        <v>3590002333</v>
      </c>
      <c r="H267" t="str">
        <f t="shared" si="90"/>
        <v>001</v>
      </c>
      <c r="I267" t="str">
        <f t="shared" si="100"/>
        <v>4100401</v>
      </c>
      <c r="J267">
        <f>26000</f>
        <v>26000</v>
      </c>
      <c r="K267" t="str">
        <f>"本"</f>
        <v>本</v>
      </c>
      <c r="L267" t="str">
        <f>"3600108"</f>
        <v>3600108</v>
      </c>
      <c r="M267" t="str">
        <f>""</f>
        <v/>
      </c>
    </row>
    <row r="268" spans="1:13" x14ac:dyDescent="0.15">
      <c r="A268" t="str">
        <f t="shared" si="97"/>
        <v>1851110500</v>
      </c>
      <c r="B268" t="str">
        <f t="shared" si="98"/>
        <v>安佐南・区政調整</v>
      </c>
      <c r="C268" t="str">
        <f>"05ｽ00901"</f>
        <v>05ｽ00901</v>
      </c>
      <c r="D268" t="str">
        <f>"スタンドパイプ"</f>
        <v>スタンドパイプ</v>
      </c>
      <c r="E268" t="str">
        <f>"舞台照明用操作棒アルミ製５ｍ伸縮式"</f>
        <v>舞台照明用操作棒アルミ製５ｍ伸縮式</v>
      </c>
      <c r="F268" t="str">
        <f t="shared" si="99"/>
        <v>００６０</v>
      </c>
      <c r="G268" t="str">
        <f>"3590002334"</f>
        <v>3590002334</v>
      </c>
      <c r="H268" t="str">
        <f t="shared" si="90"/>
        <v>001</v>
      </c>
      <c r="I268" t="str">
        <f t="shared" si="100"/>
        <v>4100401</v>
      </c>
      <c r="J268">
        <f>21600</f>
        <v>21600</v>
      </c>
      <c r="K268" t="str">
        <f>"個"</f>
        <v>個</v>
      </c>
      <c r="L268" t="str">
        <f>"3600116"</f>
        <v>3600116</v>
      </c>
      <c r="M268" t="str">
        <f>""</f>
        <v/>
      </c>
    </row>
    <row r="269" spans="1:13" x14ac:dyDescent="0.15">
      <c r="A269" t="str">
        <f t="shared" si="97"/>
        <v>1851110500</v>
      </c>
      <c r="B269" t="str">
        <f t="shared" si="98"/>
        <v>安佐南・区政調整</v>
      </c>
      <c r="C269" t="str">
        <f t="shared" ref="C269:C313" si="101">"05ﾀ00601"</f>
        <v>05ﾀ00601</v>
      </c>
      <c r="D269" t="str">
        <f t="shared" ref="D269:D313" si="102">"台"</f>
        <v>台</v>
      </c>
      <c r="E269" t="str">
        <f t="shared" ref="E269:E275" si="103">"工作台コクヨＳＧ‐Ｔ２５５Ｍ"</f>
        <v>工作台コクヨＳＧ‐Ｔ２５５Ｍ</v>
      </c>
      <c r="F269" t="str">
        <f t="shared" si="99"/>
        <v>００６０</v>
      </c>
      <c r="G269" t="str">
        <f>"3590002335"</f>
        <v>3590002335</v>
      </c>
      <c r="H269" t="str">
        <f t="shared" si="90"/>
        <v>001</v>
      </c>
      <c r="I269" t="str">
        <f t="shared" si="100"/>
        <v>4100401</v>
      </c>
      <c r="J269">
        <f>62000</f>
        <v>62000</v>
      </c>
      <c r="K269" t="str">
        <f t="shared" ref="K269:K313" si="104">"台"</f>
        <v>台</v>
      </c>
      <c r="L269" t="str">
        <f t="shared" ref="L269:L275" si="105">"3600108"</f>
        <v>3600108</v>
      </c>
      <c r="M269" t="str">
        <f>""</f>
        <v/>
      </c>
    </row>
    <row r="270" spans="1:13" x14ac:dyDescent="0.15">
      <c r="A270" t="str">
        <f t="shared" si="97"/>
        <v>1851110500</v>
      </c>
      <c r="B270" t="str">
        <f t="shared" si="98"/>
        <v>安佐南・区政調整</v>
      </c>
      <c r="C270" t="str">
        <f t="shared" si="101"/>
        <v>05ﾀ00601</v>
      </c>
      <c r="D270" t="str">
        <f t="shared" si="102"/>
        <v>台</v>
      </c>
      <c r="E270" t="str">
        <f t="shared" si="103"/>
        <v>工作台コクヨＳＧ‐Ｔ２５５Ｍ</v>
      </c>
      <c r="F270" t="str">
        <f t="shared" si="99"/>
        <v>００６０</v>
      </c>
      <c r="G270" t="str">
        <f>"3590002336"</f>
        <v>3590002336</v>
      </c>
      <c r="H270" t="str">
        <f t="shared" si="90"/>
        <v>001</v>
      </c>
      <c r="I270" t="str">
        <f t="shared" si="100"/>
        <v>4100401</v>
      </c>
      <c r="J270">
        <f>62000</f>
        <v>62000</v>
      </c>
      <c r="K270" t="str">
        <f t="shared" si="104"/>
        <v>台</v>
      </c>
      <c r="L270" t="str">
        <f t="shared" si="105"/>
        <v>3600108</v>
      </c>
      <c r="M270" t="str">
        <f>""</f>
        <v/>
      </c>
    </row>
    <row r="271" spans="1:13" x14ac:dyDescent="0.15">
      <c r="A271" t="str">
        <f t="shared" si="97"/>
        <v>1851110500</v>
      </c>
      <c r="B271" t="str">
        <f t="shared" si="98"/>
        <v>安佐南・区政調整</v>
      </c>
      <c r="C271" t="str">
        <f t="shared" si="101"/>
        <v>05ﾀ00601</v>
      </c>
      <c r="D271" t="str">
        <f t="shared" si="102"/>
        <v>台</v>
      </c>
      <c r="E271" t="str">
        <f t="shared" si="103"/>
        <v>工作台コクヨＳＧ‐Ｔ２５５Ｍ</v>
      </c>
      <c r="F271" t="str">
        <f t="shared" si="99"/>
        <v>００６０</v>
      </c>
      <c r="G271" t="str">
        <f>"3590002337"</f>
        <v>3590002337</v>
      </c>
      <c r="H271" t="str">
        <f t="shared" si="90"/>
        <v>001</v>
      </c>
      <c r="I271" t="str">
        <f t="shared" si="100"/>
        <v>4100401</v>
      </c>
      <c r="J271">
        <f>62000</f>
        <v>62000</v>
      </c>
      <c r="K271" t="str">
        <f t="shared" si="104"/>
        <v>台</v>
      </c>
      <c r="L271" t="str">
        <f t="shared" si="105"/>
        <v>3600108</v>
      </c>
      <c r="M271" t="str">
        <f>""</f>
        <v/>
      </c>
    </row>
    <row r="272" spans="1:13" x14ac:dyDescent="0.15">
      <c r="A272" t="str">
        <f t="shared" si="97"/>
        <v>1851110500</v>
      </c>
      <c r="B272" t="str">
        <f t="shared" si="98"/>
        <v>安佐南・区政調整</v>
      </c>
      <c r="C272" t="str">
        <f t="shared" si="101"/>
        <v>05ﾀ00601</v>
      </c>
      <c r="D272" t="str">
        <f t="shared" si="102"/>
        <v>台</v>
      </c>
      <c r="E272" t="str">
        <f t="shared" si="103"/>
        <v>工作台コクヨＳＧ‐Ｔ２５５Ｍ</v>
      </c>
      <c r="F272" t="str">
        <f t="shared" si="99"/>
        <v>００６０</v>
      </c>
      <c r="G272" t="str">
        <f>"3590002338"</f>
        <v>3590002338</v>
      </c>
      <c r="H272" t="str">
        <f t="shared" si="90"/>
        <v>001</v>
      </c>
      <c r="I272" t="str">
        <f t="shared" si="100"/>
        <v>4100401</v>
      </c>
      <c r="J272">
        <f>62000</f>
        <v>62000</v>
      </c>
      <c r="K272" t="str">
        <f t="shared" si="104"/>
        <v>台</v>
      </c>
      <c r="L272" t="str">
        <f t="shared" si="105"/>
        <v>3600108</v>
      </c>
      <c r="M272" t="str">
        <f>""</f>
        <v/>
      </c>
    </row>
    <row r="273" spans="1:13" x14ac:dyDescent="0.15">
      <c r="A273" t="str">
        <f t="shared" si="97"/>
        <v>1851110500</v>
      </c>
      <c r="B273" t="str">
        <f t="shared" si="98"/>
        <v>安佐南・区政調整</v>
      </c>
      <c r="C273" t="str">
        <f t="shared" si="101"/>
        <v>05ﾀ00601</v>
      </c>
      <c r="D273" t="str">
        <f t="shared" si="102"/>
        <v>台</v>
      </c>
      <c r="E273" t="str">
        <f t="shared" si="103"/>
        <v>工作台コクヨＳＧ‐Ｔ２５５Ｍ</v>
      </c>
      <c r="F273" t="str">
        <f t="shared" si="99"/>
        <v>００６０</v>
      </c>
      <c r="G273" t="str">
        <f>"3590002339"</f>
        <v>3590002339</v>
      </c>
      <c r="H273" t="str">
        <f t="shared" si="90"/>
        <v>001</v>
      </c>
      <c r="I273" t="str">
        <f t="shared" si="100"/>
        <v>4100401</v>
      </c>
      <c r="J273">
        <f>62000</f>
        <v>62000</v>
      </c>
      <c r="K273" t="str">
        <f t="shared" si="104"/>
        <v>台</v>
      </c>
      <c r="L273" t="str">
        <f t="shared" si="105"/>
        <v>3600108</v>
      </c>
      <c r="M273" t="str">
        <f>""</f>
        <v/>
      </c>
    </row>
    <row r="274" spans="1:13" x14ac:dyDescent="0.15">
      <c r="A274" t="str">
        <f t="shared" si="97"/>
        <v>1851110500</v>
      </c>
      <c r="B274" t="str">
        <f t="shared" si="98"/>
        <v>安佐南・区政調整</v>
      </c>
      <c r="C274" t="str">
        <f t="shared" si="101"/>
        <v>05ﾀ00601</v>
      </c>
      <c r="D274" t="str">
        <f t="shared" si="102"/>
        <v>台</v>
      </c>
      <c r="E274" t="str">
        <f t="shared" si="103"/>
        <v>工作台コクヨＳＧ‐Ｔ２５５Ｍ</v>
      </c>
      <c r="F274" t="str">
        <f t="shared" si="99"/>
        <v>００６０</v>
      </c>
      <c r="G274" t="str">
        <f>"3590002340"</f>
        <v>3590002340</v>
      </c>
      <c r="H274" t="str">
        <f t="shared" ref="H274:H305" si="106">"001"</f>
        <v>001</v>
      </c>
      <c r="I274" t="str">
        <f t="shared" si="100"/>
        <v>4100401</v>
      </c>
      <c r="J274">
        <f>62000</f>
        <v>62000</v>
      </c>
      <c r="K274" t="str">
        <f t="shared" si="104"/>
        <v>台</v>
      </c>
      <c r="L274" t="str">
        <f t="shared" si="105"/>
        <v>3600108</v>
      </c>
      <c r="M274" t="str">
        <f>""</f>
        <v/>
      </c>
    </row>
    <row r="275" spans="1:13" x14ac:dyDescent="0.15">
      <c r="A275" t="str">
        <f t="shared" si="97"/>
        <v>1851110500</v>
      </c>
      <c r="B275" t="str">
        <f t="shared" si="98"/>
        <v>安佐南・区政調整</v>
      </c>
      <c r="C275" t="str">
        <f t="shared" si="101"/>
        <v>05ﾀ00601</v>
      </c>
      <c r="D275" t="str">
        <f t="shared" si="102"/>
        <v>台</v>
      </c>
      <c r="E275" t="str">
        <f t="shared" si="103"/>
        <v>工作台コクヨＳＧ‐Ｔ２５５Ｍ</v>
      </c>
      <c r="F275" t="str">
        <f t="shared" si="99"/>
        <v>００６０</v>
      </c>
      <c r="G275" t="str">
        <f>"3590002341"</f>
        <v>3590002341</v>
      </c>
      <c r="H275" t="str">
        <f t="shared" si="106"/>
        <v>001</v>
      </c>
      <c r="I275" t="str">
        <f t="shared" si="100"/>
        <v>4100401</v>
      </c>
      <c r="J275">
        <f>62000</f>
        <v>62000</v>
      </c>
      <c r="K275" t="str">
        <f t="shared" si="104"/>
        <v>台</v>
      </c>
      <c r="L275" t="str">
        <f t="shared" si="105"/>
        <v>3600108</v>
      </c>
      <c r="M275" t="str">
        <f>""</f>
        <v/>
      </c>
    </row>
    <row r="276" spans="1:13" x14ac:dyDescent="0.15">
      <c r="A276" t="str">
        <f t="shared" si="97"/>
        <v>1851110500</v>
      </c>
      <c r="B276" t="str">
        <f t="shared" si="98"/>
        <v>安佐南・区政調整</v>
      </c>
      <c r="C276" t="str">
        <f t="shared" si="101"/>
        <v>05ﾀ00601</v>
      </c>
      <c r="D276" t="str">
        <f t="shared" si="102"/>
        <v>台</v>
      </c>
      <c r="E276" t="str">
        <f>"指揮者台"</f>
        <v>指揮者台</v>
      </c>
      <c r="F276" t="str">
        <f t="shared" si="99"/>
        <v>００６０</v>
      </c>
      <c r="G276" t="str">
        <f>"3590002342"</f>
        <v>3590002342</v>
      </c>
      <c r="H276" t="str">
        <f t="shared" si="106"/>
        <v>001</v>
      </c>
      <c r="I276" t="str">
        <f t="shared" si="100"/>
        <v>4100401</v>
      </c>
      <c r="J276">
        <f>84000</f>
        <v>84000</v>
      </c>
      <c r="K276" t="str">
        <f t="shared" si="104"/>
        <v>台</v>
      </c>
      <c r="L276" t="str">
        <f t="shared" ref="L276:L314" si="107">"3600110"</f>
        <v>3600110</v>
      </c>
      <c r="M276" t="str">
        <f>""</f>
        <v/>
      </c>
    </row>
    <row r="277" spans="1:13" x14ac:dyDescent="0.15">
      <c r="A277" t="str">
        <f t="shared" si="97"/>
        <v>1851110500</v>
      </c>
      <c r="B277" t="str">
        <f t="shared" si="98"/>
        <v>安佐南・区政調整</v>
      </c>
      <c r="C277" t="str">
        <f t="shared" si="101"/>
        <v>05ﾀ00601</v>
      </c>
      <c r="D277" t="str">
        <f t="shared" si="102"/>
        <v>台</v>
      </c>
      <c r="E277" t="str">
        <f>"イトーＵＷＴ‐１８０"</f>
        <v>イトーＵＷＴ‐１８０</v>
      </c>
      <c r="F277" t="str">
        <f t="shared" si="99"/>
        <v>００６０</v>
      </c>
      <c r="G277" t="str">
        <f>"3590002343"</f>
        <v>3590002343</v>
      </c>
      <c r="H277" t="str">
        <f t="shared" si="106"/>
        <v>001</v>
      </c>
      <c r="I277" t="str">
        <f t="shared" si="100"/>
        <v>4100401</v>
      </c>
      <c r="J277">
        <f>61500</f>
        <v>61500</v>
      </c>
      <c r="K277" t="str">
        <f t="shared" si="104"/>
        <v>台</v>
      </c>
      <c r="L277" t="str">
        <f t="shared" si="107"/>
        <v>3600110</v>
      </c>
      <c r="M277" t="str">
        <f>""</f>
        <v/>
      </c>
    </row>
    <row r="278" spans="1:13" x14ac:dyDescent="0.15">
      <c r="A278" t="str">
        <f t="shared" si="97"/>
        <v>1851110500</v>
      </c>
      <c r="B278" t="str">
        <f t="shared" si="98"/>
        <v>安佐南・区政調整</v>
      </c>
      <c r="C278" t="str">
        <f t="shared" si="101"/>
        <v>05ﾀ00601</v>
      </c>
      <c r="D278" t="str">
        <f t="shared" si="102"/>
        <v>台</v>
      </c>
      <c r="E278" t="str">
        <f>"イトーＵＷＴ‐１８０"</f>
        <v>イトーＵＷＴ‐１８０</v>
      </c>
      <c r="F278" t="str">
        <f t="shared" si="99"/>
        <v>００６０</v>
      </c>
      <c r="G278" t="str">
        <f>"3590002344"</f>
        <v>3590002344</v>
      </c>
      <c r="H278" t="str">
        <f t="shared" si="106"/>
        <v>001</v>
      </c>
      <c r="I278" t="str">
        <f t="shared" si="100"/>
        <v>4100401</v>
      </c>
      <c r="J278">
        <f>61500</f>
        <v>61500</v>
      </c>
      <c r="K278" t="str">
        <f t="shared" si="104"/>
        <v>台</v>
      </c>
      <c r="L278" t="str">
        <f t="shared" si="107"/>
        <v>3600110</v>
      </c>
      <c r="M278" t="str">
        <f>""</f>
        <v/>
      </c>
    </row>
    <row r="279" spans="1:13" x14ac:dyDescent="0.15">
      <c r="A279" t="str">
        <f t="shared" si="97"/>
        <v>1851110500</v>
      </c>
      <c r="B279" t="str">
        <f t="shared" si="98"/>
        <v>安佐南・区政調整</v>
      </c>
      <c r="C279" t="str">
        <f t="shared" si="101"/>
        <v>05ﾀ00601</v>
      </c>
      <c r="D279" t="str">
        <f t="shared" si="102"/>
        <v>台</v>
      </c>
      <c r="E279" t="str">
        <f t="shared" ref="E279:E303" si="108">"所作台１２尺"</f>
        <v>所作台１２尺</v>
      </c>
      <c r="F279" t="str">
        <f t="shared" si="99"/>
        <v>００６０</v>
      </c>
      <c r="G279" t="str">
        <f>"3590002345"</f>
        <v>3590002345</v>
      </c>
      <c r="H279" t="str">
        <f t="shared" si="106"/>
        <v>001</v>
      </c>
      <c r="I279" t="str">
        <f t="shared" si="100"/>
        <v>4100401</v>
      </c>
      <c r="J279">
        <f t="shared" ref="J279:J303" si="109">200000</f>
        <v>200000</v>
      </c>
      <c r="K279" t="str">
        <f t="shared" si="104"/>
        <v>台</v>
      </c>
      <c r="L279" t="str">
        <f t="shared" si="107"/>
        <v>3600110</v>
      </c>
      <c r="M279" t="str">
        <f>""</f>
        <v/>
      </c>
    </row>
    <row r="280" spans="1:13" x14ac:dyDescent="0.15">
      <c r="A280" t="str">
        <f t="shared" si="97"/>
        <v>1851110500</v>
      </c>
      <c r="B280" t="str">
        <f t="shared" si="98"/>
        <v>安佐南・区政調整</v>
      </c>
      <c r="C280" t="str">
        <f t="shared" si="101"/>
        <v>05ﾀ00601</v>
      </c>
      <c r="D280" t="str">
        <f t="shared" si="102"/>
        <v>台</v>
      </c>
      <c r="E280" t="str">
        <f t="shared" si="108"/>
        <v>所作台１２尺</v>
      </c>
      <c r="F280" t="str">
        <f t="shared" si="99"/>
        <v>００６０</v>
      </c>
      <c r="G280" t="str">
        <f>"3590002346"</f>
        <v>3590002346</v>
      </c>
      <c r="H280" t="str">
        <f t="shared" si="106"/>
        <v>001</v>
      </c>
      <c r="I280" t="str">
        <f t="shared" si="100"/>
        <v>4100401</v>
      </c>
      <c r="J280">
        <f t="shared" si="109"/>
        <v>200000</v>
      </c>
      <c r="K280" t="str">
        <f t="shared" si="104"/>
        <v>台</v>
      </c>
      <c r="L280" t="str">
        <f t="shared" si="107"/>
        <v>3600110</v>
      </c>
      <c r="M280" t="str">
        <f>""</f>
        <v/>
      </c>
    </row>
    <row r="281" spans="1:13" x14ac:dyDescent="0.15">
      <c r="A281" t="str">
        <f t="shared" si="97"/>
        <v>1851110500</v>
      </c>
      <c r="B281" t="str">
        <f t="shared" si="98"/>
        <v>安佐南・区政調整</v>
      </c>
      <c r="C281" t="str">
        <f t="shared" si="101"/>
        <v>05ﾀ00601</v>
      </c>
      <c r="D281" t="str">
        <f t="shared" si="102"/>
        <v>台</v>
      </c>
      <c r="E281" t="str">
        <f t="shared" si="108"/>
        <v>所作台１２尺</v>
      </c>
      <c r="F281" t="str">
        <f t="shared" si="99"/>
        <v>００６０</v>
      </c>
      <c r="G281" t="str">
        <f>"3590002347"</f>
        <v>3590002347</v>
      </c>
      <c r="H281" t="str">
        <f t="shared" si="106"/>
        <v>001</v>
      </c>
      <c r="I281" t="str">
        <f t="shared" si="100"/>
        <v>4100401</v>
      </c>
      <c r="J281">
        <f t="shared" si="109"/>
        <v>200000</v>
      </c>
      <c r="K281" t="str">
        <f t="shared" si="104"/>
        <v>台</v>
      </c>
      <c r="L281" t="str">
        <f t="shared" si="107"/>
        <v>3600110</v>
      </c>
      <c r="M281" t="str">
        <f>""</f>
        <v/>
      </c>
    </row>
    <row r="282" spans="1:13" x14ac:dyDescent="0.15">
      <c r="A282" t="str">
        <f t="shared" si="97"/>
        <v>1851110500</v>
      </c>
      <c r="B282" t="str">
        <f t="shared" si="98"/>
        <v>安佐南・区政調整</v>
      </c>
      <c r="C282" t="str">
        <f t="shared" si="101"/>
        <v>05ﾀ00601</v>
      </c>
      <c r="D282" t="str">
        <f t="shared" si="102"/>
        <v>台</v>
      </c>
      <c r="E282" t="str">
        <f t="shared" si="108"/>
        <v>所作台１２尺</v>
      </c>
      <c r="F282" t="str">
        <f t="shared" si="99"/>
        <v>００６０</v>
      </c>
      <c r="G282" t="str">
        <f>"3590002348"</f>
        <v>3590002348</v>
      </c>
      <c r="H282" t="str">
        <f t="shared" si="106"/>
        <v>001</v>
      </c>
      <c r="I282" t="str">
        <f t="shared" si="100"/>
        <v>4100401</v>
      </c>
      <c r="J282">
        <f t="shared" si="109"/>
        <v>200000</v>
      </c>
      <c r="K282" t="str">
        <f t="shared" si="104"/>
        <v>台</v>
      </c>
      <c r="L282" t="str">
        <f t="shared" si="107"/>
        <v>3600110</v>
      </c>
      <c r="M282" t="str">
        <f>""</f>
        <v/>
      </c>
    </row>
    <row r="283" spans="1:13" x14ac:dyDescent="0.15">
      <c r="A283" t="str">
        <f t="shared" si="97"/>
        <v>1851110500</v>
      </c>
      <c r="B283" t="str">
        <f t="shared" si="98"/>
        <v>安佐南・区政調整</v>
      </c>
      <c r="C283" t="str">
        <f t="shared" si="101"/>
        <v>05ﾀ00601</v>
      </c>
      <c r="D283" t="str">
        <f t="shared" si="102"/>
        <v>台</v>
      </c>
      <c r="E283" t="str">
        <f t="shared" si="108"/>
        <v>所作台１２尺</v>
      </c>
      <c r="F283" t="str">
        <f t="shared" si="99"/>
        <v>００６０</v>
      </c>
      <c r="G283" t="str">
        <f>"3590002349"</f>
        <v>3590002349</v>
      </c>
      <c r="H283" t="str">
        <f t="shared" si="106"/>
        <v>001</v>
      </c>
      <c r="I283" t="str">
        <f t="shared" si="100"/>
        <v>4100401</v>
      </c>
      <c r="J283">
        <f t="shared" si="109"/>
        <v>200000</v>
      </c>
      <c r="K283" t="str">
        <f t="shared" si="104"/>
        <v>台</v>
      </c>
      <c r="L283" t="str">
        <f t="shared" si="107"/>
        <v>3600110</v>
      </c>
      <c r="M283" t="str">
        <f>""</f>
        <v/>
      </c>
    </row>
    <row r="284" spans="1:13" x14ac:dyDescent="0.15">
      <c r="A284" t="str">
        <f t="shared" si="97"/>
        <v>1851110500</v>
      </c>
      <c r="B284" t="str">
        <f t="shared" si="98"/>
        <v>安佐南・区政調整</v>
      </c>
      <c r="C284" t="str">
        <f t="shared" si="101"/>
        <v>05ﾀ00601</v>
      </c>
      <c r="D284" t="str">
        <f t="shared" si="102"/>
        <v>台</v>
      </c>
      <c r="E284" t="str">
        <f t="shared" si="108"/>
        <v>所作台１２尺</v>
      </c>
      <c r="F284" t="str">
        <f t="shared" si="99"/>
        <v>００６０</v>
      </c>
      <c r="G284" t="str">
        <f>"3590002350"</f>
        <v>3590002350</v>
      </c>
      <c r="H284" t="str">
        <f t="shared" si="106"/>
        <v>001</v>
      </c>
      <c r="I284" t="str">
        <f t="shared" si="100"/>
        <v>4100401</v>
      </c>
      <c r="J284">
        <f t="shared" si="109"/>
        <v>200000</v>
      </c>
      <c r="K284" t="str">
        <f t="shared" si="104"/>
        <v>台</v>
      </c>
      <c r="L284" t="str">
        <f t="shared" si="107"/>
        <v>3600110</v>
      </c>
      <c r="M284" t="str">
        <f>""</f>
        <v/>
      </c>
    </row>
    <row r="285" spans="1:13" x14ac:dyDescent="0.15">
      <c r="A285" t="str">
        <f t="shared" si="97"/>
        <v>1851110500</v>
      </c>
      <c r="B285" t="str">
        <f t="shared" si="98"/>
        <v>安佐南・区政調整</v>
      </c>
      <c r="C285" t="str">
        <f t="shared" si="101"/>
        <v>05ﾀ00601</v>
      </c>
      <c r="D285" t="str">
        <f t="shared" si="102"/>
        <v>台</v>
      </c>
      <c r="E285" t="str">
        <f t="shared" si="108"/>
        <v>所作台１２尺</v>
      </c>
      <c r="F285" t="str">
        <f t="shared" si="99"/>
        <v>００６０</v>
      </c>
      <c r="G285" t="str">
        <f>"3590002351"</f>
        <v>3590002351</v>
      </c>
      <c r="H285" t="str">
        <f t="shared" si="106"/>
        <v>001</v>
      </c>
      <c r="I285" t="str">
        <f t="shared" si="100"/>
        <v>4100401</v>
      </c>
      <c r="J285">
        <f t="shared" si="109"/>
        <v>200000</v>
      </c>
      <c r="K285" t="str">
        <f t="shared" si="104"/>
        <v>台</v>
      </c>
      <c r="L285" t="str">
        <f t="shared" si="107"/>
        <v>3600110</v>
      </c>
      <c r="M285" t="str">
        <f>""</f>
        <v/>
      </c>
    </row>
    <row r="286" spans="1:13" x14ac:dyDescent="0.15">
      <c r="A286" t="str">
        <f t="shared" si="97"/>
        <v>1851110500</v>
      </c>
      <c r="B286" t="str">
        <f t="shared" si="98"/>
        <v>安佐南・区政調整</v>
      </c>
      <c r="C286" t="str">
        <f t="shared" si="101"/>
        <v>05ﾀ00601</v>
      </c>
      <c r="D286" t="str">
        <f t="shared" si="102"/>
        <v>台</v>
      </c>
      <c r="E286" t="str">
        <f t="shared" si="108"/>
        <v>所作台１２尺</v>
      </c>
      <c r="F286" t="str">
        <f t="shared" si="99"/>
        <v>００６０</v>
      </c>
      <c r="G286" t="str">
        <f>"3590002352"</f>
        <v>3590002352</v>
      </c>
      <c r="H286" t="str">
        <f t="shared" si="106"/>
        <v>001</v>
      </c>
      <c r="I286" t="str">
        <f t="shared" si="100"/>
        <v>4100401</v>
      </c>
      <c r="J286">
        <f t="shared" si="109"/>
        <v>200000</v>
      </c>
      <c r="K286" t="str">
        <f t="shared" si="104"/>
        <v>台</v>
      </c>
      <c r="L286" t="str">
        <f t="shared" si="107"/>
        <v>3600110</v>
      </c>
      <c r="M286" t="str">
        <f>""</f>
        <v/>
      </c>
    </row>
    <row r="287" spans="1:13" x14ac:dyDescent="0.15">
      <c r="A287" t="str">
        <f t="shared" si="97"/>
        <v>1851110500</v>
      </c>
      <c r="B287" t="str">
        <f t="shared" si="98"/>
        <v>安佐南・区政調整</v>
      </c>
      <c r="C287" t="str">
        <f t="shared" si="101"/>
        <v>05ﾀ00601</v>
      </c>
      <c r="D287" t="str">
        <f t="shared" si="102"/>
        <v>台</v>
      </c>
      <c r="E287" t="str">
        <f t="shared" si="108"/>
        <v>所作台１２尺</v>
      </c>
      <c r="F287" t="str">
        <f t="shared" si="99"/>
        <v>００６０</v>
      </c>
      <c r="G287" t="str">
        <f>"3590002353"</f>
        <v>3590002353</v>
      </c>
      <c r="H287" t="str">
        <f t="shared" si="106"/>
        <v>001</v>
      </c>
      <c r="I287" t="str">
        <f t="shared" si="100"/>
        <v>4100401</v>
      </c>
      <c r="J287">
        <f t="shared" si="109"/>
        <v>200000</v>
      </c>
      <c r="K287" t="str">
        <f t="shared" si="104"/>
        <v>台</v>
      </c>
      <c r="L287" t="str">
        <f t="shared" si="107"/>
        <v>3600110</v>
      </c>
      <c r="M287" t="str">
        <f>""</f>
        <v/>
      </c>
    </row>
    <row r="288" spans="1:13" x14ac:dyDescent="0.15">
      <c r="A288" t="str">
        <f t="shared" si="97"/>
        <v>1851110500</v>
      </c>
      <c r="B288" t="str">
        <f t="shared" si="98"/>
        <v>安佐南・区政調整</v>
      </c>
      <c r="C288" t="str">
        <f t="shared" si="101"/>
        <v>05ﾀ00601</v>
      </c>
      <c r="D288" t="str">
        <f t="shared" si="102"/>
        <v>台</v>
      </c>
      <c r="E288" t="str">
        <f t="shared" si="108"/>
        <v>所作台１２尺</v>
      </c>
      <c r="F288" t="str">
        <f t="shared" si="99"/>
        <v>００６０</v>
      </c>
      <c r="G288" t="str">
        <f>"3590002354"</f>
        <v>3590002354</v>
      </c>
      <c r="H288" t="str">
        <f t="shared" si="106"/>
        <v>001</v>
      </c>
      <c r="I288" t="str">
        <f t="shared" si="100"/>
        <v>4100401</v>
      </c>
      <c r="J288">
        <f t="shared" si="109"/>
        <v>200000</v>
      </c>
      <c r="K288" t="str">
        <f t="shared" si="104"/>
        <v>台</v>
      </c>
      <c r="L288" t="str">
        <f t="shared" si="107"/>
        <v>3600110</v>
      </c>
      <c r="M288" t="str">
        <f>""</f>
        <v/>
      </c>
    </row>
    <row r="289" spans="1:13" x14ac:dyDescent="0.15">
      <c r="A289" t="str">
        <f t="shared" si="97"/>
        <v>1851110500</v>
      </c>
      <c r="B289" t="str">
        <f t="shared" si="98"/>
        <v>安佐南・区政調整</v>
      </c>
      <c r="C289" t="str">
        <f t="shared" si="101"/>
        <v>05ﾀ00601</v>
      </c>
      <c r="D289" t="str">
        <f t="shared" si="102"/>
        <v>台</v>
      </c>
      <c r="E289" t="str">
        <f t="shared" si="108"/>
        <v>所作台１２尺</v>
      </c>
      <c r="F289" t="str">
        <f t="shared" si="99"/>
        <v>００６０</v>
      </c>
      <c r="G289" t="str">
        <f>"3590002355"</f>
        <v>3590002355</v>
      </c>
      <c r="H289" t="str">
        <f t="shared" si="106"/>
        <v>001</v>
      </c>
      <c r="I289" t="str">
        <f t="shared" si="100"/>
        <v>4100401</v>
      </c>
      <c r="J289">
        <f t="shared" si="109"/>
        <v>200000</v>
      </c>
      <c r="K289" t="str">
        <f t="shared" si="104"/>
        <v>台</v>
      </c>
      <c r="L289" t="str">
        <f t="shared" si="107"/>
        <v>3600110</v>
      </c>
      <c r="M289" t="str">
        <f>""</f>
        <v/>
      </c>
    </row>
    <row r="290" spans="1:13" x14ac:dyDescent="0.15">
      <c r="A290" t="str">
        <f t="shared" si="97"/>
        <v>1851110500</v>
      </c>
      <c r="B290" t="str">
        <f t="shared" si="98"/>
        <v>安佐南・区政調整</v>
      </c>
      <c r="C290" t="str">
        <f t="shared" si="101"/>
        <v>05ﾀ00601</v>
      </c>
      <c r="D290" t="str">
        <f t="shared" si="102"/>
        <v>台</v>
      </c>
      <c r="E290" t="str">
        <f t="shared" si="108"/>
        <v>所作台１２尺</v>
      </c>
      <c r="F290" t="str">
        <f t="shared" si="99"/>
        <v>００６０</v>
      </c>
      <c r="G290" t="str">
        <f>"3590002356"</f>
        <v>3590002356</v>
      </c>
      <c r="H290" t="str">
        <f t="shared" si="106"/>
        <v>001</v>
      </c>
      <c r="I290" t="str">
        <f t="shared" si="100"/>
        <v>4100401</v>
      </c>
      <c r="J290">
        <f t="shared" si="109"/>
        <v>200000</v>
      </c>
      <c r="K290" t="str">
        <f t="shared" si="104"/>
        <v>台</v>
      </c>
      <c r="L290" t="str">
        <f t="shared" si="107"/>
        <v>3600110</v>
      </c>
      <c r="M290" t="str">
        <f>""</f>
        <v/>
      </c>
    </row>
    <row r="291" spans="1:13" x14ac:dyDescent="0.15">
      <c r="A291" t="str">
        <f t="shared" si="97"/>
        <v>1851110500</v>
      </c>
      <c r="B291" t="str">
        <f t="shared" si="98"/>
        <v>安佐南・区政調整</v>
      </c>
      <c r="C291" t="str">
        <f t="shared" si="101"/>
        <v>05ﾀ00601</v>
      </c>
      <c r="D291" t="str">
        <f t="shared" si="102"/>
        <v>台</v>
      </c>
      <c r="E291" t="str">
        <f t="shared" si="108"/>
        <v>所作台１２尺</v>
      </c>
      <c r="F291" t="str">
        <f t="shared" si="99"/>
        <v>００６０</v>
      </c>
      <c r="G291" t="str">
        <f>"3590002357"</f>
        <v>3590002357</v>
      </c>
      <c r="H291" t="str">
        <f t="shared" si="106"/>
        <v>001</v>
      </c>
      <c r="I291" t="str">
        <f t="shared" si="100"/>
        <v>4100401</v>
      </c>
      <c r="J291">
        <f t="shared" si="109"/>
        <v>200000</v>
      </c>
      <c r="K291" t="str">
        <f t="shared" si="104"/>
        <v>台</v>
      </c>
      <c r="L291" t="str">
        <f t="shared" si="107"/>
        <v>3600110</v>
      </c>
      <c r="M291" t="str">
        <f>""</f>
        <v/>
      </c>
    </row>
    <row r="292" spans="1:13" x14ac:dyDescent="0.15">
      <c r="A292" t="str">
        <f t="shared" si="97"/>
        <v>1851110500</v>
      </c>
      <c r="B292" t="str">
        <f t="shared" si="98"/>
        <v>安佐南・区政調整</v>
      </c>
      <c r="C292" t="str">
        <f t="shared" si="101"/>
        <v>05ﾀ00601</v>
      </c>
      <c r="D292" t="str">
        <f t="shared" si="102"/>
        <v>台</v>
      </c>
      <c r="E292" t="str">
        <f t="shared" si="108"/>
        <v>所作台１２尺</v>
      </c>
      <c r="F292" t="str">
        <f t="shared" si="99"/>
        <v>００６０</v>
      </c>
      <c r="G292" t="str">
        <f>"3590002358"</f>
        <v>3590002358</v>
      </c>
      <c r="H292" t="str">
        <f t="shared" si="106"/>
        <v>001</v>
      </c>
      <c r="I292" t="str">
        <f t="shared" si="100"/>
        <v>4100401</v>
      </c>
      <c r="J292">
        <f t="shared" si="109"/>
        <v>200000</v>
      </c>
      <c r="K292" t="str">
        <f t="shared" si="104"/>
        <v>台</v>
      </c>
      <c r="L292" t="str">
        <f t="shared" si="107"/>
        <v>3600110</v>
      </c>
      <c r="M292" t="str">
        <f>""</f>
        <v/>
      </c>
    </row>
    <row r="293" spans="1:13" x14ac:dyDescent="0.15">
      <c r="A293" t="str">
        <f t="shared" si="97"/>
        <v>1851110500</v>
      </c>
      <c r="B293" t="str">
        <f t="shared" si="98"/>
        <v>安佐南・区政調整</v>
      </c>
      <c r="C293" t="str">
        <f t="shared" si="101"/>
        <v>05ﾀ00601</v>
      </c>
      <c r="D293" t="str">
        <f t="shared" si="102"/>
        <v>台</v>
      </c>
      <c r="E293" t="str">
        <f t="shared" si="108"/>
        <v>所作台１２尺</v>
      </c>
      <c r="F293" t="str">
        <f t="shared" si="99"/>
        <v>００６０</v>
      </c>
      <c r="G293" t="str">
        <f>"3590002359"</f>
        <v>3590002359</v>
      </c>
      <c r="H293" t="str">
        <f t="shared" si="106"/>
        <v>001</v>
      </c>
      <c r="I293" t="str">
        <f t="shared" si="100"/>
        <v>4100401</v>
      </c>
      <c r="J293">
        <f t="shared" si="109"/>
        <v>200000</v>
      </c>
      <c r="K293" t="str">
        <f t="shared" si="104"/>
        <v>台</v>
      </c>
      <c r="L293" t="str">
        <f t="shared" si="107"/>
        <v>3600110</v>
      </c>
      <c r="M293" t="str">
        <f>""</f>
        <v/>
      </c>
    </row>
    <row r="294" spans="1:13" x14ac:dyDescent="0.15">
      <c r="A294" t="str">
        <f t="shared" si="97"/>
        <v>1851110500</v>
      </c>
      <c r="B294" t="str">
        <f t="shared" si="98"/>
        <v>安佐南・区政調整</v>
      </c>
      <c r="C294" t="str">
        <f t="shared" si="101"/>
        <v>05ﾀ00601</v>
      </c>
      <c r="D294" t="str">
        <f t="shared" si="102"/>
        <v>台</v>
      </c>
      <c r="E294" t="str">
        <f t="shared" si="108"/>
        <v>所作台１２尺</v>
      </c>
      <c r="F294" t="str">
        <f t="shared" si="99"/>
        <v>００６０</v>
      </c>
      <c r="G294" t="str">
        <f>"3590002360"</f>
        <v>3590002360</v>
      </c>
      <c r="H294" t="str">
        <f t="shared" si="106"/>
        <v>001</v>
      </c>
      <c r="I294" t="str">
        <f t="shared" si="100"/>
        <v>4100401</v>
      </c>
      <c r="J294">
        <f t="shared" si="109"/>
        <v>200000</v>
      </c>
      <c r="K294" t="str">
        <f t="shared" si="104"/>
        <v>台</v>
      </c>
      <c r="L294" t="str">
        <f t="shared" si="107"/>
        <v>3600110</v>
      </c>
      <c r="M294" t="str">
        <f>""</f>
        <v/>
      </c>
    </row>
    <row r="295" spans="1:13" x14ac:dyDescent="0.15">
      <c r="A295" t="str">
        <f t="shared" si="97"/>
        <v>1851110500</v>
      </c>
      <c r="B295" t="str">
        <f t="shared" si="98"/>
        <v>安佐南・区政調整</v>
      </c>
      <c r="C295" t="str">
        <f t="shared" si="101"/>
        <v>05ﾀ00601</v>
      </c>
      <c r="D295" t="str">
        <f t="shared" si="102"/>
        <v>台</v>
      </c>
      <c r="E295" t="str">
        <f t="shared" si="108"/>
        <v>所作台１２尺</v>
      </c>
      <c r="F295" t="str">
        <f t="shared" si="99"/>
        <v>００６０</v>
      </c>
      <c r="G295" t="str">
        <f>"3590002361"</f>
        <v>3590002361</v>
      </c>
      <c r="H295" t="str">
        <f t="shared" si="106"/>
        <v>001</v>
      </c>
      <c r="I295" t="str">
        <f t="shared" si="100"/>
        <v>4100401</v>
      </c>
      <c r="J295">
        <f t="shared" si="109"/>
        <v>200000</v>
      </c>
      <c r="K295" t="str">
        <f t="shared" si="104"/>
        <v>台</v>
      </c>
      <c r="L295" t="str">
        <f t="shared" si="107"/>
        <v>3600110</v>
      </c>
      <c r="M295" t="str">
        <f>""</f>
        <v/>
      </c>
    </row>
    <row r="296" spans="1:13" x14ac:dyDescent="0.15">
      <c r="A296" t="str">
        <f t="shared" si="97"/>
        <v>1851110500</v>
      </c>
      <c r="B296" t="str">
        <f t="shared" si="98"/>
        <v>安佐南・区政調整</v>
      </c>
      <c r="C296" t="str">
        <f t="shared" si="101"/>
        <v>05ﾀ00601</v>
      </c>
      <c r="D296" t="str">
        <f t="shared" si="102"/>
        <v>台</v>
      </c>
      <c r="E296" t="str">
        <f t="shared" si="108"/>
        <v>所作台１２尺</v>
      </c>
      <c r="F296" t="str">
        <f t="shared" si="99"/>
        <v>００６０</v>
      </c>
      <c r="G296" t="str">
        <f>"3590002362"</f>
        <v>3590002362</v>
      </c>
      <c r="H296" t="str">
        <f t="shared" si="106"/>
        <v>001</v>
      </c>
      <c r="I296" t="str">
        <f t="shared" ref="I296:I315" si="110">"4100401"</f>
        <v>4100401</v>
      </c>
      <c r="J296">
        <f t="shared" si="109"/>
        <v>200000</v>
      </c>
      <c r="K296" t="str">
        <f t="shared" si="104"/>
        <v>台</v>
      </c>
      <c r="L296" t="str">
        <f t="shared" si="107"/>
        <v>3600110</v>
      </c>
      <c r="M296" t="str">
        <f>""</f>
        <v/>
      </c>
    </row>
    <row r="297" spans="1:13" x14ac:dyDescent="0.15">
      <c r="A297" t="str">
        <f t="shared" si="97"/>
        <v>1851110500</v>
      </c>
      <c r="B297" t="str">
        <f t="shared" si="98"/>
        <v>安佐南・区政調整</v>
      </c>
      <c r="C297" t="str">
        <f t="shared" si="101"/>
        <v>05ﾀ00601</v>
      </c>
      <c r="D297" t="str">
        <f t="shared" si="102"/>
        <v>台</v>
      </c>
      <c r="E297" t="str">
        <f t="shared" si="108"/>
        <v>所作台１２尺</v>
      </c>
      <c r="F297" t="str">
        <f t="shared" si="99"/>
        <v>００６０</v>
      </c>
      <c r="G297" t="str">
        <f>"3590002363"</f>
        <v>3590002363</v>
      </c>
      <c r="H297" t="str">
        <f t="shared" si="106"/>
        <v>001</v>
      </c>
      <c r="I297" t="str">
        <f t="shared" si="110"/>
        <v>4100401</v>
      </c>
      <c r="J297">
        <f t="shared" si="109"/>
        <v>200000</v>
      </c>
      <c r="K297" t="str">
        <f t="shared" si="104"/>
        <v>台</v>
      </c>
      <c r="L297" t="str">
        <f t="shared" si="107"/>
        <v>3600110</v>
      </c>
      <c r="M297" t="str">
        <f>""</f>
        <v/>
      </c>
    </row>
    <row r="298" spans="1:13" x14ac:dyDescent="0.15">
      <c r="A298" t="str">
        <f t="shared" si="97"/>
        <v>1851110500</v>
      </c>
      <c r="B298" t="str">
        <f t="shared" si="98"/>
        <v>安佐南・区政調整</v>
      </c>
      <c r="C298" t="str">
        <f t="shared" si="101"/>
        <v>05ﾀ00601</v>
      </c>
      <c r="D298" t="str">
        <f t="shared" si="102"/>
        <v>台</v>
      </c>
      <c r="E298" t="str">
        <f t="shared" si="108"/>
        <v>所作台１２尺</v>
      </c>
      <c r="F298" t="str">
        <f t="shared" si="99"/>
        <v>００６０</v>
      </c>
      <c r="G298" t="str">
        <f>"3590002364"</f>
        <v>3590002364</v>
      </c>
      <c r="H298" t="str">
        <f t="shared" si="106"/>
        <v>001</v>
      </c>
      <c r="I298" t="str">
        <f t="shared" si="110"/>
        <v>4100401</v>
      </c>
      <c r="J298">
        <f t="shared" si="109"/>
        <v>200000</v>
      </c>
      <c r="K298" t="str">
        <f t="shared" si="104"/>
        <v>台</v>
      </c>
      <c r="L298" t="str">
        <f t="shared" si="107"/>
        <v>3600110</v>
      </c>
      <c r="M298" t="str">
        <f>""</f>
        <v/>
      </c>
    </row>
    <row r="299" spans="1:13" x14ac:dyDescent="0.15">
      <c r="A299" t="str">
        <f t="shared" si="97"/>
        <v>1851110500</v>
      </c>
      <c r="B299" t="str">
        <f t="shared" si="98"/>
        <v>安佐南・区政調整</v>
      </c>
      <c r="C299" t="str">
        <f t="shared" si="101"/>
        <v>05ﾀ00601</v>
      </c>
      <c r="D299" t="str">
        <f t="shared" si="102"/>
        <v>台</v>
      </c>
      <c r="E299" t="str">
        <f t="shared" si="108"/>
        <v>所作台１２尺</v>
      </c>
      <c r="F299" t="str">
        <f t="shared" si="99"/>
        <v>００６０</v>
      </c>
      <c r="G299" t="str">
        <f>"3590002365"</f>
        <v>3590002365</v>
      </c>
      <c r="H299" t="str">
        <f t="shared" si="106"/>
        <v>001</v>
      </c>
      <c r="I299" t="str">
        <f t="shared" si="110"/>
        <v>4100401</v>
      </c>
      <c r="J299">
        <f t="shared" si="109"/>
        <v>200000</v>
      </c>
      <c r="K299" t="str">
        <f t="shared" si="104"/>
        <v>台</v>
      </c>
      <c r="L299" t="str">
        <f t="shared" si="107"/>
        <v>3600110</v>
      </c>
      <c r="M299" t="str">
        <f>""</f>
        <v/>
      </c>
    </row>
    <row r="300" spans="1:13" x14ac:dyDescent="0.15">
      <c r="A300" t="str">
        <f t="shared" si="97"/>
        <v>1851110500</v>
      </c>
      <c r="B300" t="str">
        <f t="shared" si="98"/>
        <v>安佐南・区政調整</v>
      </c>
      <c r="C300" t="str">
        <f t="shared" si="101"/>
        <v>05ﾀ00601</v>
      </c>
      <c r="D300" t="str">
        <f t="shared" si="102"/>
        <v>台</v>
      </c>
      <c r="E300" t="str">
        <f t="shared" si="108"/>
        <v>所作台１２尺</v>
      </c>
      <c r="F300" t="str">
        <f t="shared" si="99"/>
        <v>００６０</v>
      </c>
      <c r="G300" t="str">
        <f>"3590002366"</f>
        <v>3590002366</v>
      </c>
      <c r="H300" t="str">
        <f t="shared" si="106"/>
        <v>001</v>
      </c>
      <c r="I300" t="str">
        <f t="shared" si="110"/>
        <v>4100401</v>
      </c>
      <c r="J300">
        <f t="shared" si="109"/>
        <v>200000</v>
      </c>
      <c r="K300" t="str">
        <f t="shared" si="104"/>
        <v>台</v>
      </c>
      <c r="L300" t="str">
        <f t="shared" si="107"/>
        <v>3600110</v>
      </c>
      <c r="M300" t="str">
        <f>""</f>
        <v/>
      </c>
    </row>
    <row r="301" spans="1:13" x14ac:dyDescent="0.15">
      <c r="A301" t="str">
        <f t="shared" si="97"/>
        <v>1851110500</v>
      </c>
      <c r="B301" t="str">
        <f t="shared" si="98"/>
        <v>安佐南・区政調整</v>
      </c>
      <c r="C301" t="str">
        <f t="shared" si="101"/>
        <v>05ﾀ00601</v>
      </c>
      <c r="D301" t="str">
        <f t="shared" si="102"/>
        <v>台</v>
      </c>
      <c r="E301" t="str">
        <f t="shared" si="108"/>
        <v>所作台１２尺</v>
      </c>
      <c r="F301" t="str">
        <f t="shared" si="99"/>
        <v>００６０</v>
      </c>
      <c r="G301" t="str">
        <f>"3590002367"</f>
        <v>3590002367</v>
      </c>
      <c r="H301" t="str">
        <f t="shared" si="106"/>
        <v>001</v>
      </c>
      <c r="I301" t="str">
        <f t="shared" si="110"/>
        <v>4100401</v>
      </c>
      <c r="J301">
        <f t="shared" si="109"/>
        <v>200000</v>
      </c>
      <c r="K301" t="str">
        <f t="shared" si="104"/>
        <v>台</v>
      </c>
      <c r="L301" t="str">
        <f t="shared" si="107"/>
        <v>3600110</v>
      </c>
      <c r="M301" t="str">
        <f>""</f>
        <v/>
      </c>
    </row>
    <row r="302" spans="1:13" x14ac:dyDescent="0.15">
      <c r="A302" t="str">
        <f t="shared" si="97"/>
        <v>1851110500</v>
      </c>
      <c r="B302" t="str">
        <f t="shared" si="98"/>
        <v>安佐南・区政調整</v>
      </c>
      <c r="C302" t="str">
        <f t="shared" si="101"/>
        <v>05ﾀ00601</v>
      </c>
      <c r="D302" t="str">
        <f t="shared" si="102"/>
        <v>台</v>
      </c>
      <c r="E302" t="str">
        <f t="shared" si="108"/>
        <v>所作台１２尺</v>
      </c>
      <c r="F302" t="str">
        <f t="shared" si="99"/>
        <v>００６０</v>
      </c>
      <c r="G302" t="str">
        <f>"3590002368"</f>
        <v>3590002368</v>
      </c>
      <c r="H302" t="str">
        <f t="shared" si="106"/>
        <v>001</v>
      </c>
      <c r="I302" t="str">
        <f t="shared" si="110"/>
        <v>4100401</v>
      </c>
      <c r="J302">
        <f t="shared" si="109"/>
        <v>200000</v>
      </c>
      <c r="K302" t="str">
        <f t="shared" si="104"/>
        <v>台</v>
      </c>
      <c r="L302" t="str">
        <f t="shared" si="107"/>
        <v>3600110</v>
      </c>
      <c r="M302" t="str">
        <f>""</f>
        <v/>
      </c>
    </row>
    <row r="303" spans="1:13" x14ac:dyDescent="0.15">
      <c r="A303" t="str">
        <f t="shared" si="97"/>
        <v>1851110500</v>
      </c>
      <c r="B303" t="str">
        <f t="shared" si="98"/>
        <v>安佐南・区政調整</v>
      </c>
      <c r="C303" t="str">
        <f t="shared" si="101"/>
        <v>05ﾀ00601</v>
      </c>
      <c r="D303" t="str">
        <f t="shared" si="102"/>
        <v>台</v>
      </c>
      <c r="E303" t="str">
        <f t="shared" si="108"/>
        <v>所作台１２尺</v>
      </c>
      <c r="F303" t="str">
        <f t="shared" si="99"/>
        <v>００６０</v>
      </c>
      <c r="G303" t="str">
        <f>"3590002369"</f>
        <v>3590002369</v>
      </c>
      <c r="H303" t="str">
        <f t="shared" si="106"/>
        <v>001</v>
      </c>
      <c r="I303" t="str">
        <f t="shared" si="110"/>
        <v>4100401</v>
      </c>
      <c r="J303">
        <f t="shared" si="109"/>
        <v>200000</v>
      </c>
      <c r="K303" t="str">
        <f t="shared" si="104"/>
        <v>台</v>
      </c>
      <c r="L303" t="str">
        <f t="shared" si="107"/>
        <v>3600110</v>
      </c>
      <c r="M303" t="str">
        <f>""</f>
        <v/>
      </c>
    </row>
    <row r="304" spans="1:13" x14ac:dyDescent="0.15">
      <c r="A304" t="str">
        <f t="shared" si="97"/>
        <v>1851110500</v>
      </c>
      <c r="B304" t="str">
        <f t="shared" si="98"/>
        <v>安佐南・区政調整</v>
      </c>
      <c r="C304" t="str">
        <f t="shared" si="101"/>
        <v>05ﾀ00601</v>
      </c>
      <c r="D304" t="str">
        <f t="shared" si="102"/>
        <v>台</v>
      </c>
      <c r="E304" t="str">
        <f>"所作台９尺"</f>
        <v>所作台９尺</v>
      </c>
      <c r="F304" t="str">
        <f t="shared" si="99"/>
        <v>００６０</v>
      </c>
      <c r="G304" t="str">
        <f>"3590002370"</f>
        <v>3590002370</v>
      </c>
      <c r="H304" t="str">
        <f t="shared" si="106"/>
        <v>001</v>
      </c>
      <c r="I304" t="str">
        <f t="shared" si="110"/>
        <v>4100401</v>
      </c>
      <c r="J304">
        <f>150000</f>
        <v>150000</v>
      </c>
      <c r="K304" t="str">
        <f t="shared" si="104"/>
        <v>台</v>
      </c>
      <c r="L304" t="str">
        <f t="shared" si="107"/>
        <v>3600110</v>
      </c>
      <c r="M304" t="str">
        <f>""</f>
        <v/>
      </c>
    </row>
    <row r="305" spans="1:13" x14ac:dyDescent="0.15">
      <c r="A305" t="str">
        <f t="shared" si="97"/>
        <v>1851110500</v>
      </c>
      <c r="B305" t="str">
        <f t="shared" si="98"/>
        <v>安佐南・区政調整</v>
      </c>
      <c r="C305" t="str">
        <f t="shared" si="101"/>
        <v>05ﾀ00601</v>
      </c>
      <c r="D305" t="str">
        <f t="shared" si="102"/>
        <v>台</v>
      </c>
      <c r="E305" t="str">
        <f>"所作台９尺"</f>
        <v>所作台９尺</v>
      </c>
      <c r="F305" t="str">
        <f t="shared" si="99"/>
        <v>００６０</v>
      </c>
      <c r="G305" t="str">
        <f>"3590002371"</f>
        <v>3590002371</v>
      </c>
      <c r="H305" t="str">
        <f t="shared" si="106"/>
        <v>001</v>
      </c>
      <c r="I305" t="str">
        <f t="shared" si="110"/>
        <v>4100401</v>
      </c>
      <c r="J305">
        <f>150000</f>
        <v>150000</v>
      </c>
      <c r="K305" t="str">
        <f t="shared" si="104"/>
        <v>台</v>
      </c>
      <c r="L305" t="str">
        <f t="shared" si="107"/>
        <v>3600110</v>
      </c>
      <c r="M305" t="str">
        <f>""</f>
        <v/>
      </c>
    </row>
    <row r="306" spans="1:13" x14ac:dyDescent="0.15">
      <c r="A306" t="str">
        <f t="shared" si="97"/>
        <v>1851110500</v>
      </c>
      <c r="B306" t="str">
        <f t="shared" si="98"/>
        <v>安佐南・区政調整</v>
      </c>
      <c r="C306" t="str">
        <f t="shared" si="101"/>
        <v>05ﾀ00601</v>
      </c>
      <c r="D306" t="str">
        <f t="shared" si="102"/>
        <v>台</v>
      </c>
      <c r="E306" t="str">
        <f>"所作台９尺"</f>
        <v>所作台９尺</v>
      </c>
      <c r="F306" t="str">
        <f t="shared" si="99"/>
        <v>００６０</v>
      </c>
      <c r="G306" t="str">
        <f>"3590002372"</f>
        <v>3590002372</v>
      </c>
      <c r="H306" t="str">
        <f t="shared" ref="H306:H324" si="111">"001"</f>
        <v>001</v>
      </c>
      <c r="I306" t="str">
        <f t="shared" si="110"/>
        <v>4100401</v>
      </c>
      <c r="J306">
        <f>150000</f>
        <v>150000</v>
      </c>
      <c r="K306" t="str">
        <f t="shared" si="104"/>
        <v>台</v>
      </c>
      <c r="L306" t="str">
        <f t="shared" si="107"/>
        <v>3600110</v>
      </c>
      <c r="M306" t="str">
        <f>""</f>
        <v/>
      </c>
    </row>
    <row r="307" spans="1:13" x14ac:dyDescent="0.15">
      <c r="A307" t="str">
        <f t="shared" si="97"/>
        <v>1851110500</v>
      </c>
      <c r="B307" t="str">
        <f t="shared" si="98"/>
        <v>安佐南・区政調整</v>
      </c>
      <c r="C307" t="str">
        <f t="shared" si="101"/>
        <v>05ﾀ00601</v>
      </c>
      <c r="D307" t="str">
        <f t="shared" si="102"/>
        <v>台</v>
      </c>
      <c r="E307" t="str">
        <f>"所作台９尺"</f>
        <v>所作台９尺</v>
      </c>
      <c r="F307" t="str">
        <f t="shared" si="99"/>
        <v>００６０</v>
      </c>
      <c r="G307" t="str">
        <f>"3590002373"</f>
        <v>3590002373</v>
      </c>
      <c r="H307" t="str">
        <f t="shared" si="111"/>
        <v>001</v>
      </c>
      <c r="I307" t="str">
        <f t="shared" si="110"/>
        <v>4100401</v>
      </c>
      <c r="J307">
        <f>150000</f>
        <v>150000</v>
      </c>
      <c r="K307" t="str">
        <f t="shared" si="104"/>
        <v>台</v>
      </c>
      <c r="L307" t="str">
        <f t="shared" si="107"/>
        <v>3600110</v>
      </c>
      <c r="M307" t="str">
        <f>""</f>
        <v/>
      </c>
    </row>
    <row r="308" spans="1:13" x14ac:dyDescent="0.15">
      <c r="A308" t="str">
        <f t="shared" si="97"/>
        <v>1851110500</v>
      </c>
      <c r="B308" t="str">
        <f t="shared" si="98"/>
        <v>安佐南・区政調整</v>
      </c>
      <c r="C308" t="str">
        <f t="shared" si="101"/>
        <v>05ﾀ00601</v>
      </c>
      <c r="D308" t="str">
        <f t="shared" si="102"/>
        <v>台</v>
      </c>
      <c r="E308" t="str">
        <f>"化粧椎１２尺"</f>
        <v>化粧椎１２尺</v>
      </c>
      <c r="F308" t="str">
        <f t="shared" si="99"/>
        <v>００６０</v>
      </c>
      <c r="G308" t="str">
        <f>"3590002374"</f>
        <v>3590002374</v>
      </c>
      <c r="H308" t="str">
        <f t="shared" si="111"/>
        <v>001</v>
      </c>
      <c r="I308" t="str">
        <f t="shared" si="110"/>
        <v>4100401</v>
      </c>
      <c r="J308">
        <f>50000</f>
        <v>50000</v>
      </c>
      <c r="K308" t="str">
        <f t="shared" si="104"/>
        <v>台</v>
      </c>
      <c r="L308" t="str">
        <f t="shared" si="107"/>
        <v>3600110</v>
      </c>
      <c r="M308" t="str">
        <f>""</f>
        <v/>
      </c>
    </row>
    <row r="309" spans="1:13" x14ac:dyDescent="0.15">
      <c r="A309" t="str">
        <f t="shared" si="97"/>
        <v>1851110500</v>
      </c>
      <c r="B309" t="str">
        <f t="shared" si="98"/>
        <v>安佐南・区政調整</v>
      </c>
      <c r="C309" t="str">
        <f t="shared" si="101"/>
        <v>05ﾀ00601</v>
      </c>
      <c r="D309" t="str">
        <f t="shared" si="102"/>
        <v>台</v>
      </c>
      <c r="E309" t="str">
        <f>"化粧椎１２尺"</f>
        <v>化粧椎１２尺</v>
      </c>
      <c r="F309" t="str">
        <f t="shared" si="99"/>
        <v>００６０</v>
      </c>
      <c r="G309" t="str">
        <f>"3590002375"</f>
        <v>3590002375</v>
      </c>
      <c r="H309" t="str">
        <f t="shared" si="111"/>
        <v>001</v>
      </c>
      <c r="I309" t="str">
        <f t="shared" si="110"/>
        <v>4100401</v>
      </c>
      <c r="J309">
        <f>50000</f>
        <v>50000</v>
      </c>
      <c r="K309" t="str">
        <f t="shared" si="104"/>
        <v>台</v>
      </c>
      <c r="L309" t="str">
        <f t="shared" si="107"/>
        <v>3600110</v>
      </c>
      <c r="M309" t="str">
        <f>""</f>
        <v/>
      </c>
    </row>
    <row r="310" spans="1:13" x14ac:dyDescent="0.15">
      <c r="A310" t="str">
        <f t="shared" si="97"/>
        <v>1851110500</v>
      </c>
      <c r="B310" t="str">
        <f t="shared" si="98"/>
        <v>安佐南・区政調整</v>
      </c>
      <c r="C310" t="str">
        <f t="shared" si="101"/>
        <v>05ﾀ00601</v>
      </c>
      <c r="D310" t="str">
        <f t="shared" si="102"/>
        <v>台</v>
      </c>
      <c r="E310" t="str">
        <f>"化粧椎１２尺"</f>
        <v>化粧椎１２尺</v>
      </c>
      <c r="F310" t="str">
        <f t="shared" si="99"/>
        <v>００６０</v>
      </c>
      <c r="G310" t="str">
        <f>"3590002376"</f>
        <v>3590002376</v>
      </c>
      <c r="H310" t="str">
        <f t="shared" si="111"/>
        <v>001</v>
      </c>
      <c r="I310" t="str">
        <f t="shared" si="110"/>
        <v>4100401</v>
      </c>
      <c r="J310">
        <f>50000</f>
        <v>50000</v>
      </c>
      <c r="K310" t="str">
        <f t="shared" si="104"/>
        <v>台</v>
      </c>
      <c r="L310" t="str">
        <f t="shared" si="107"/>
        <v>3600110</v>
      </c>
      <c r="M310" t="str">
        <f>""</f>
        <v/>
      </c>
    </row>
    <row r="311" spans="1:13" x14ac:dyDescent="0.15">
      <c r="A311" t="str">
        <f t="shared" si="97"/>
        <v>1851110500</v>
      </c>
      <c r="B311" t="str">
        <f t="shared" si="98"/>
        <v>安佐南・区政調整</v>
      </c>
      <c r="C311" t="str">
        <f t="shared" si="101"/>
        <v>05ﾀ00601</v>
      </c>
      <c r="D311" t="str">
        <f t="shared" si="102"/>
        <v>台</v>
      </c>
      <c r="E311" t="str">
        <f>"化粧椎１２尺"</f>
        <v>化粧椎１２尺</v>
      </c>
      <c r="F311" t="str">
        <f t="shared" si="99"/>
        <v>００６０</v>
      </c>
      <c r="G311" t="str">
        <f>"3590002377"</f>
        <v>3590002377</v>
      </c>
      <c r="H311" t="str">
        <f t="shared" si="111"/>
        <v>001</v>
      </c>
      <c r="I311" t="str">
        <f t="shared" si="110"/>
        <v>4100401</v>
      </c>
      <c r="J311">
        <f>50000</f>
        <v>50000</v>
      </c>
      <c r="K311" t="str">
        <f t="shared" si="104"/>
        <v>台</v>
      </c>
      <c r="L311" t="str">
        <f t="shared" si="107"/>
        <v>3600110</v>
      </c>
      <c r="M311" t="str">
        <f>""</f>
        <v/>
      </c>
    </row>
    <row r="312" spans="1:13" x14ac:dyDescent="0.15">
      <c r="A312" t="str">
        <f t="shared" si="97"/>
        <v>1851110500</v>
      </c>
      <c r="B312" t="str">
        <f t="shared" si="98"/>
        <v>安佐南・区政調整</v>
      </c>
      <c r="C312" t="str">
        <f t="shared" si="101"/>
        <v>05ﾀ00601</v>
      </c>
      <c r="D312" t="str">
        <f t="shared" si="102"/>
        <v>台</v>
      </c>
      <c r="E312" t="str">
        <f>"ヒナ段用ケコミー式パネル計５６枚"</f>
        <v>ヒナ段用ケコミー式パネル計５６枚</v>
      </c>
      <c r="F312" t="str">
        <f t="shared" si="99"/>
        <v>００６０</v>
      </c>
      <c r="G312" t="str">
        <f>"3590002378"</f>
        <v>3590002378</v>
      </c>
      <c r="H312" t="str">
        <f t="shared" si="111"/>
        <v>001</v>
      </c>
      <c r="I312" t="str">
        <f t="shared" si="110"/>
        <v>4100401</v>
      </c>
      <c r="J312">
        <f>400000</f>
        <v>400000</v>
      </c>
      <c r="K312" t="str">
        <f t="shared" si="104"/>
        <v>台</v>
      </c>
      <c r="L312" t="str">
        <f t="shared" si="107"/>
        <v>3600110</v>
      </c>
      <c r="M312" t="str">
        <f>""</f>
        <v/>
      </c>
    </row>
    <row r="313" spans="1:13" x14ac:dyDescent="0.15">
      <c r="A313" t="str">
        <f t="shared" si="97"/>
        <v>1851110500</v>
      </c>
      <c r="B313" t="str">
        <f t="shared" si="98"/>
        <v>安佐南・区政調整</v>
      </c>
      <c r="C313" t="str">
        <f t="shared" si="101"/>
        <v>05ﾀ00601</v>
      </c>
      <c r="D313" t="str">
        <f t="shared" si="102"/>
        <v>台</v>
      </c>
      <c r="E313" t="str">
        <f>"めくり台Ｈ＝５尺"</f>
        <v>めくり台Ｈ＝５尺</v>
      </c>
      <c r="F313" t="str">
        <f t="shared" si="99"/>
        <v>００６０</v>
      </c>
      <c r="G313" t="str">
        <f>"3590002389"</f>
        <v>3590002389</v>
      </c>
      <c r="H313" t="str">
        <f t="shared" si="111"/>
        <v>001</v>
      </c>
      <c r="I313" t="str">
        <f t="shared" si="110"/>
        <v>4100401</v>
      </c>
      <c r="J313">
        <f>23000</f>
        <v>23000</v>
      </c>
      <c r="K313" t="str">
        <f t="shared" si="104"/>
        <v>台</v>
      </c>
      <c r="L313" t="str">
        <f t="shared" si="107"/>
        <v>3600110</v>
      </c>
      <c r="M313" t="str">
        <f>""</f>
        <v/>
      </c>
    </row>
    <row r="314" spans="1:13" x14ac:dyDescent="0.15">
      <c r="A314" t="str">
        <f t="shared" si="97"/>
        <v>1851110500</v>
      </c>
      <c r="B314" t="str">
        <f t="shared" si="98"/>
        <v>安佐南・区政調整</v>
      </c>
      <c r="C314" t="str">
        <f>"05ﾀ00701"</f>
        <v>05ﾀ00701</v>
      </c>
      <c r="D314" t="str">
        <f>"棚"</f>
        <v>棚</v>
      </c>
      <c r="E314" t="str">
        <f>"スチール棚金綱付６段"</f>
        <v>スチール棚金綱付６段</v>
      </c>
      <c r="F314" t="str">
        <f t="shared" si="99"/>
        <v>００６０</v>
      </c>
      <c r="G314" t="str">
        <f>"3590002390"</f>
        <v>3590002390</v>
      </c>
      <c r="H314" t="str">
        <f t="shared" si="111"/>
        <v>001</v>
      </c>
      <c r="I314" t="str">
        <f t="shared" si="110"/>
        <v>4100401</v>
      </c>
      <c r="J314">
        <f>22500</f>
        <v>22500</v>
      </c>
      <c r="K314" t="str">
        <f>"個"</f>
        <v>個</v>
      </c>
      <c r="L314" t="str">
        <f t="shared" si="107"/>
        <v>3600110</v>
      </c>
      <c r="M314" t="str">
        <f>""</f>
        <v/>
      </c>
    </row>
    <row r="315" spans="1:13" x14ac:dyDescent="0.15">
      <c r="A315" t="str">
        <f t="shared" si="97"/>
        <v>1851110500</v>
      </c>
      <c r="B315" t="str">
        <f t="shared" si="98"/>
        <v>安佐南・区政調整</v>
      </c>
      <c r="C315" t="str">
        <f>"05ﾀ00701"</f>
        <v>05ﾀ00701</v>
      </c>
      <c r="D315" t="str">
        <f>"棚"</f>
        <v>棚</v>
      </c>
      <c r="E315" t="str">
        <f>"ＲＡＭＳＡＷＬ‐ＲＯ１"</f>
        <v>ＲＡＭＳＡＷＬ‐ＲＯ１</v>
      </c>
      <c r="F315" t="str">
        <f t="shared" si="99"/>
        <v>００６０</v>
      </c>
      <c r="G315" t="str">
        <f>"3630008174"</f>
        <v>3630008174</v>
      </c>
      <c r="H315" t="str">
        <f t="shared" si="111"/>
        <v>001</v>
      </c>
      <c r="I315" t="str">
        <f t="shared" si="110"/>
        <v>4100401</v>
      </c>
      <c r="J315">
        <f>72000</f>
        <v>72000</v>
      </c>
      <c r="K315" t="str">
        <f>"個"</f>
        <v>個</v>
      </c>
      <c r="L315" t="str">
        <f>"4010328"</f>
        <v>4010328</v>
      </c>
      <c r="M315" t="str">
        <f>""</f>
        <v/>
      </c>
    </row>
    <row r="316" spans="1:13" x14ac:dyDescent="0.15">
      <c r="A316" t="str">
        <f t="shared" si="97"/>
        <v>1851110500</v>
      </c>
      <c r="B316" t="str">
        <f t="shared" si="98"/>
        <v>安佐南・区政調整</v>
      </c>
      <c r="C316" t="str">
        <f>"05ﾁ00101"</f>
        <v>05ﾁ00101</v>
      </c>
      <c r="D316" t="str">
        <f>"ステレオ"</f>
        <v>ステレオ</v>
      </c>
      <c r="E316" t="str">
        <f>"ＯＮＫＹＯ・Ｘ－Ｎ９ＳＸ"</f>
        <v>ＯＮＫＹＯ・Ｘ－Ｎ９ＳＸ</v>
      </c>
      <c r="F316" t="str">
        <f t="shared" si="99"/>
        <v>００６０</v>
      </c>
      <c r="G316" t="str">
        <f>"4210005226"</f>
        <v>4210005226</v>
      </c>
      <c r="H316" t="str">
        <f t="shared" si="111"/>
        <v>001</v>
      </c>
      <c r="I316" t="str">
        <f>"4220121"</f>
        <v>4220121</v>
      </c>
      <c r="J316">
        <f>62265</f>
        <v>62265</v>
      </c>
      <c r="K316" t="str">
        <f>"式"</f>
        <v>式</v>
      </c>
      <c r="L316" t="str">
        <f>"4220121"</f>
        <v>4220121</v>
      </c>
      <c r="M316" t="str">
        <f>""</f>
        <v/>
      </c>
    </row>
    <row r="317" spans="1:13" x14ac:dyDescent="0.15">
      <c r="A317" t="str">
        <f t="shared" si="97"/>
        <v>1851110500</v>
      </c>
      <c r="B317" t="str">
        <f t="shared" si="98"/>
        <v>安佐南・区政調整</v>
      </c>
      <c r="C317" t="str">
        <f>"05ﾁ00104"</f>
        <v>05ﾁ00104</v>
      </c>
      <c r="D317" t="str">
        <f>"チューナ"</f>
        <v>チューナ</v>
      </c>
      <c r="E317" t="str">
        <f>"ＷＸ４０２０Ｂ　ＷＸＤ４０００Ａ"</f>
        <v>ＷＸ４０２０Ｂ　ＷＸＤ４０００Ａ</v>
      </c>
      <c r="F317" t="str">
        <f t="shared" si="99"/>
        <v>００６０</v>
      </c>
      <c r="G317" t="str">
        <f>"4200003803"</f>
        <v>4200003803</v>
      </c>
      <c r="H317" t="str">
        <f t="shared" si="111"/>
        <v>001</v>
      </c>
      <c r="I317" t="str">
        <f>"4200604"</f>
        <v>4200604</v>
      </c>
      <c r="J317">
        <f>111300</f>
        <v>111300</v>
      </c>
      <c r="K317" t="str">
        <f>"台"</f>
        <v>台</v>
      </c>
      <c r="L317" t="str">
        <f>"4200604"</f>
        <v>4200604</v>
      </c>
      <c r="M317" t="str">
        <f>""</f>
        <v/>
      </c>
    </row>
    <row r="318" spans="1:13" x14ac:dyDescent="0.15">
      <c r="A318" t="str">
        <f t="shared" si="97"/>
        <v>1851110500</v>
      </c>
      <c r="B318" t="str">
        <f t="shared" si="98"/>
        <v>安佐南・区政調整</v>
      </c>
      <c r="C318" t="str">
        <f>"05ﾁ00401"</f>
        <v>05ﾁ00401</v>
      </c>
      <c r="D318" t="str">
        <f>"茶器"</f>
        <v>茶器</v>
      </c>
      <c r="E318" t="str">
        <f>"ウチダ３５０‐１２０１Ｂセット"</f>
        <v>ウチダ３５０‐１２０１Ｂセット</v>
      </c>
      <c r="F318" t="str">
        <f t="shared" si="99"/>
        <v>００６０</v>
      </c>
      <c r="G318" t="str">
        <f>"3590002392"</f>
        <v>3590002392</v>
      </c>
      <c r="H318" t="str">
        <f t="shared" si="111"/>
        <v>001</v>
      </c>
      <c r="I318" t="str">
        <f>"4100401"</f>
        <v>4100401</v>
      </c>
      <c r="J318">
        <f>57700</f>
        <v>57700</v>
      </c>
      <c r="K318" t="str">
        <f>"組"</f>
        <v>組</v>
      </c>
      <c r="L318" t="str">
        <f>"3600108"</f>
        <v>3600108</v>
      </c>
      <c r="M318" t="str">
        <f>""</f>
        <v/>
      </c>
    </row>
    <row r="319" spans="1:13" x14ac:dyDescent="0.15">
      <c r="A319" t="str">
        <f t="shared" si="97"/>
        <v>1851110500</v>
      </c>
      <c r="B319" t="str">
        <f t="shared" si="98"/>
        <v>安佐南・区政調整</v>
      </c>
      <c r="C319" t="str">
        <f>"05ﾃ00301"</f>
        <v>05ﾃ00301</v>
      </c>
      <c r="D319" t="str">
        <f>"テレビ受像器"</f>
        <v>テレビ受像器</v>
      </c>
      <c r="E319" t="str">
        <f>"松下電器　ＴＨ－１９Ｊ２　事務所用"</f>
        <v>松下電器　ＴＨ－１９Ｊ２　事務所用</v>
      </c>
      <c r="F319" t="str">
        <f t="shared" si="99"/>
        <v>００６０</v>
      </c>
      <c r="G319" t="str">
        <f>"4070002969"</f>
        <v>4070002969</v>
      </c>
      <c r="H319" t="str">
        <f t="shared" si="111"/>
        <v>001</v>
      </c>
      <c r="I319" t="str">
        <f>"4100401"</f>
        <v>4100401</v>
      </c>
      <c r="J319">
        <f>75499</f>
        <v>75499</v>
      </c>
      <c r="K319" t="str">
        <f t="shared" ref="K319:K335" si="112">"台"</f>
        <v>台</v>
      </c>
      <c r="L319" t="str">
        <f>"4070420"</f>
        <v>4070420</v>
      </c>
      <c r="M319" t="str">
        <f>"4070420"</f>
        <v>4070420</v>
      </c>
    </row>
    <row r="320" spans="1:13" x14ac:dyDescent="0.15">
      <c r="A320" t="str">
        <f t="shared" si="97"/>
        <v>1851110500</v>
      </c>
      <c r="B320" t="str">
        <f t="shared" si="98"/>
        <v>安佐南・区政調整</v>
      </c>
      <c r="C320" t="str">
        <f>"05ﾃ00301"</f>
        <v>05ﾃ00301</v>
      </c>
      <c r="D320" t="str">
        <f>"テレビ受像器"</f>
        <v>テレビ受像器</v>
      </c>
      <c r="E320" t="str">
        <f>"ＳＯＮＹ　ＫＸ－２９ＨＶ３　ロビー"</f>
        <v>ＳＯＮＹ　ＫＸ－２９ＨＶ３　ロビー</v>
      </c>
      <c r="F320" t="str">
        <f t="shared" si="99"/>
        <v>００６０</v>
      </c>
      <c r="G320" t="str">
        <f>"4070002970"</f>
        <v>4070002970</v>
      </c>
      <c r="H320" t="str">
        <f t="shared" si="111"/>
        <v>001</v>
      </c>
      <c r="I320" t="str">
        <f>"4100401"</f>
        <v>4100401</v>
      </c>
      <c r="J320">
        <f>205485</f>
        <v>205485</v>
      </c>
      <c r="K320" t="str">
        <f t="shared" si="112"/>
        <v>台</v>
      </c>
      <c r="L320" t="str">
        <f>"4070420"</f>
        <v>4070420</v>
      </c>
      <c r="M320" t="str">
        <f>"4070420"</f>
        <v>4070420</v>
      </c>
    </row>
    <row r="321" spans="1:13" x14ac:dyDescent="0.15">
      <c r="A321" t="str">
        <f t="shared" si="97"/>
        <v>1851110500</v>
      </c>
      <c r="B321" t="str">
        <f t="shared" si="98"/>
        <v>安佐南・区政調整</v>
      </c>
      <c r="C321" t="str">
        <f>"05ﾃ00602"</f>
        <v>05ﾃ00602</v>
      </c>
      <c r="D321" t="str">
        <f>"録音再生機"</f>
        <v>録音再生機</v>
      </c>
      <c r="E321" t="str">
        <f>"ＴＡＳＣＡＭ　ＭＤ－３５０"</f>
        <v>ＴＡＳＣＡＭ　ＭＤ－３５０</v>
      </c>
      <c r="F321" t="str">
        <f t="shared" si="99"/>
        <v>００６０</v>
      </c>
      <c r="G321" t="str">
        <f>"4200003804"</f>
        <v>4200003804</v>
      </c>
      <c r="H321" t="str">
        <f t="shared" si="111"/>
        <v>001</v>
      </c>
      <c r="I321" t="str">
        <f>"4200604"</f>
        <v>4200604</v>
      </c>
      <c r="J321">
        <f>57225</f>
        <v>57225</v>
      </c>
      <c r="K321" t="str">
        <f t="shared" si="112"/>
        <v>台</v>
      </c>
      <c r="L321" t="str">
        <f>"4200604"</f>
        <v>4200604</v>
      </c>
      <c r="M321" t="str">
        <f>""</f>
        <v/>
      </c>
    </row>
    <row r="322" spans="1:13" x14ac:dyDescent="0.15">
      <c r="A322" t="str">
        <f t="shared" ref="A322:A373" si="113">"1851110500"</f>
        <v>1851110500</v>
      </c>
      <c r="B322" t="str">
        <f t="shared" ref="B322:B373" si="114">"安佐南・区政調整"</f>
        <v>安佐南・区政調整</v>
      </c>
      <c r="C322" t="str">
        <f>"05ﾃ00602"</f>
        <v>05ﾃ00602</v>
      </c>
      <c r="D322" t="str">
        <f>"録音再生機"</f>
        <v>録音再生機</v>
      </c>
      <c r="E322" t="str">
        <f>"ＴＡＳＣＡＭ　ＳＳ－ＣＤＲ２００"</f>
        <v>ＴＡＳＣＡＭ　ＳＳ－ＣＤＲ２００</v>
      </c>
      <c r="F322" t="str">
        <f t="shared" ref="F322:F373" si="115">"００６０"</f>
        <v>００６０</v>
      </c>
      <c r="G322" t="str">
        <f>"4230003137"</f>
        <v>4230003137</v>
      </c>
      <c r="H322" t="str">
        <f t="shared" si="111"/>
        <v>001</v>
      </c>
      <c r="I322" t="str">
        <f>"4231228"</f>
        <v>4231228</v>
      </c>
      <c r="J322">
        <f>86100</f>
        <v>86100</v>
      </c>
      <c r="K322" t="str">
        <f t="shared" si="112"/>
        <v>台</v>
      </c>
      <c r="L322" t="str">
        <f>"4231228"</f>
        <v>4231228</v>
      </c>
      <c r="M322" t="str">
        <f>""</f>
        <v/>
      </c>
    </row>
    <row r="323" spans="1:13" x14ac:dyDescent="0.15">
      <c r="A323" t="str">
        <f t="shared" si="113"/>
        <v>1851110500</v>
      </c>
      <c r="B323" t="str">
        <f t="shared" si="114"/>
        <v>安佐南・区政調整</v>
      </c>
      <c r="C323" t="str">
        <f>"05ﾃ00602"</f>
        <v>05ﾃ00602</v>
      </c>
      <c r="D323" t="str">
        <f>"録音再生機"</f>
        <v>録音再生機</v>
      </c>
      <c r="E323" t="str">
        <f>"ＴＡＳＣＡＭ　ＳＳ－ＣＤＲ２００"</f>
        <v>ＴＡＳＣＡＭ　ＳＳ－ＣＤＲ２００</v>
      </c>
      <c r="F323" t="str">
        <f t="shared" si="115"/>
        <v>００６０</v>
      </c>
      <c r="G323" t="str">
        <f>"4230003138"</f>
        <v>4230003138</v>
      </c>
      <c r="H323" t="str">
        <f t="shared" si="111"/>
        <v>001</v>
      </c>
      <c r="I323" t="str">
        <f>"4231228"</f>
        <v>4231228</v>
      </c>
      <c r="J323">
        <f>86100</f>
        <v>86100</v>
      </c>
      <c r="K323" t="str">
        <f t="shared" si="112"/>
        <v>台</v>
      </c>
      <c r="L323" t="str">
        <f>"4231228"</f>
        <v>4231228</v>
      </c>
      <c r="M323" t="str">
        <f>""</f>
        <v/>
      </c>
    </row>
    <row r="324" spans="1:13" x14ac:dyDescent="0.15">
      <c r="A324" t="str">
        <f t="shared" si="113"/>
        <v>1851110500</v>
      </c>
      <c r="B324" t="str">
        <f t="shared" si="114"/>
        <v>安佐南・区政調整</v>
      </c>
      <c r="C324" t="str">
        <f>"05ﾃ00602"</f>
        <v>05ﾃ00602</v>
      </c>
      <c r="D324" t="str">
        <f>"録音再生機"</f>
        <v>録音再生機</v>
      </c>
      <c r="E324" t="str">
        <f>"ＴＡＳＣＡＭ　ＭＤ－ＣＤ１ＢＭＫⅢ"</f>
        <v>ＴＡＳＣＡＭ　ＭＤ－ＣＤ１ＢＭＫⅢ</v>
      </c>
      <c r="F324" t="str">
        <f t="shared" si="115"/>
        <v>００６０</v>
      </c>
      <c r="G324" t="str">
        <f>"4260006479"</f>
        <v>4260006479</v>
      </c>
      <c r="H324" t="str">
        <f t="shared" si="111"/>
        <v>001</v>
      </c>
      <c r="I324" t="str">
        <f>"4270325"</f>
        <v>4270325</v>
      </c>
      <c r="J324">
        <f>91800</f>
        <v>91800</v>
      </c>
      <c r="K324" t="str">
        <f t="shared" si="112"/>
        <v>台</v>
      </c>
      <c r="L324" t="str">
        <f>"4270121"</f>
        <v>4270121</v>
      </c>
      <c r="M324" t="str">
        <f>"4270121"</f>
        <v>4270121</v>
      </c>
    </row>
    <row r="325" spans="1:13" x14ac:dyDescent="0.15">
      <c r="A325" t="str">
        <f t="shared" si="113"/>
        <v>1851110500</v>
      </c>
      <c r="B325" t="str">
        <f t="shared" si="114"/>
        <v>安佐南・区政調整</v>
      </c>
      <c r="C325" t="str">
        <f>"05ﾃ00602"</f>
        <v>05ﾃ00602</v>
      </c>
      <c r="D325" t="str">
        <f>"録音再生機"</f>
        <v>録音再生機</v>
      </c>
      <c r="E325" t="str">
        <f>"ＴＡＳＣＡＭ　ＭＤ－ＣＤ１ＢＭＫⅢ"</f>
        <v>ＴＡＳＣＡＭ　ＭＤ－ＣＤ１ＢＭＫⅢ</v>
      </c>
      <c r="F325" t="str">
        <f t="shared" si="115"/>
        <v>００６０</v>
      </c>
      <c r="G325" t="str">
        <f>"4260006479"</f>
        <v>4260006479</v>
      </c>
      <c r="H325" t="str">
        <f>"002"</f>
        <v>002</v>
      </c>
      <c r="I325" t="str">
        <f>"4270325"</f>
        <v>4270325</v>
      </c>
      <c r="J325">
        <f>91800</f>
        <v>91800</v>
      </c>
      <c r="K325" t="str">
        <f t="shared" si="112"/>
        <v>台</v>
      </c>
      <c r="L325" t="str">
        <f>"4270121"</f>
        <v>4270121</v>
      </c>
      <c r="M325" t="str">
        <f>"4270121"</f>
        <v>4270121</v>
      </c>
    </row>
    <row r="326" spans="1:13" x14ac:dyDescent="0.15">
      <c r="A326" t="str">
        <f t="shared" si="113"/>
        <v>1851110500</v>
      </c>
      <c r="B326" t="str">
        <f t="shared" si="114"/>
        <v>安佐南・区政調整</v>
      </c>
      <c r="C326" t="str">
        <f>"05ﾃ00603"</f>
        <v>05ﾃ00603</v>
      </c>
      <c r="D326" t="str">
        <f>"カセットテープレコーダー"</f>
        <v>カセットテープレコーダー</v>
      </c>
      <c r="E326" t="str">
        <f>"ステレオマスターカセットデッキ"</f>
        <v>ステレオマスターカセットデッキ</v>
      </c>
      <c r="F326" t="str">
        <f t="shared" si="115"/>
        <v>００６０</v>
      </c>
      <c r="G326" t="str">
        <f>"4040007398"</f>
        <v>4040007398</v>
      </c>
      <c r="H326" t="str">
        <f t="shared" ref="H326:H357" si="116">"001"</f>
        <v>001</v>
      </c>
      <c r="I326" t="str">
        <f>"4100401"</f>
        <v>4100401</v>
      </c>
      <c r="J326">
        <f>103000</f>
        <v>103000</v>
      </c>
      <c r="K326" t="str">
        <f t="shared" si="112"/>
        <v>台</v>
      </c>
      <c r="L326" t="str">
        <f>"4050127"</f>
        <v>4050127</v>
      </c>
      <c r="M326" t="str">
        <f>"4050127"</f>
        <v>4050127</v>
      </c>
    </row>
    <row r="327" spans="1:13" x14ac:dyDescent="0.15">
      <c r="A327" t="str">
        <f t="shared" si="113"/>
        <v>1851110500</v>
      </c>
      <c r="B327" t="str">
        <f t="shared" si="114"/>
        <v>安佐南・区政調整</v>
      </c>
      <c r="C327" t="str">
        <f>"05ﾃ00603"</f>
        <v>05ﾃ00603</v>
      </c>
      <c r="D327" t="str">
        <f>"カセットテープレコーダー"</f>
        <v>カセットテープレコーダー</v>
      </c>
      <c r="E327" t="str">
        <f>"ＤＡＴ"</f>
        <v>ＤＡＴ</v>
      </c>
      <c r="F327" t="str">
        <f t="shared" si="115"/>
        <v>００６０</v>
      </c>
      <c r="G327" t="str">
        <f>"4050004605"</f>
        <v>4050004605</v>
      </c>
      <c r="H327" t="str">
        <f t="shared" si="116"/>
        <v>001</v>
      </c>
      <c r="I327" t="str">
        <f>"4100401"</f>
        <v>4100401</v>
      </c>
      <c r="J327">
        <f>158400</f>
        <v>158400</v>
      </c>
      <c r="K327" t="str">
        <f t="shared" si="112"/>
        <v>台</v>
      </c>
      <c r="L327" t="str">
        <f>"4050507"</f>
        <v>4050507</v>
      </c>
      <c r="M327" t="str">
        <f>"4050507"</f>
        <v>4050507</v>
      </c>
    </row>
    <row r="328" spans="1:13" x14ac:dyDescent="0.15">
      <c r="A328" t="str">
        <f t="shared" si="113"/>
        <v>1851110500</v>
      </c>
      <c r="B328" t="str">
        <f t="shared" si="114"/>
        <v>安佐南・区政調整</v>
      </c>
      <c r="C328" t="str">
        <f>"05ﾃ00603"</f>
        <v>05ﾃ00603</v>
      </c>
      <c r="D328" t="str">
        <f>"カセットテープレコーダー"</f>
        <v>カセットテープレコーダー</v>
      </c>
      <c r="E328" t="str">
        <f>"ＴＡＳＣＡＭ　３２２"</f>
        <v>ＴＡＳＣＡＭ　３２２</v>
      </c>
      <c r="F328" t="str">
        <f t="shared" si="115"/>
        <v>００６０</v>
      </c>
      <c r="G328" t="str">
        <f>"4200003805"</f>
        <v>4200003805</v>
      </c>
      <c r="H328" t="str">
        <f t="shared" si="116"/>
        <v>001</v>
      </c>
      <c r="I328" t="str">
        <f>"4200604"</f>
        <v>4200604</v>
      </c>
      <c r="J328">
        <f>60900</f>
        <v>60900</v>
      </c>
      <c r="K328" t="str">
        <f t="shared" si="112"/>
        <v>台</v>
      </c>
      <c r="L328" t="str">
        <f>"4200604"</f>
        <v>4200604</v>
      </c>
      <c r="M328" t="str">
        <f>""</f>
        <v/>
      </c>
    </row>
    <row r="329" spans="1:13" x14ac:dyDescent="0.15">
      <c r="A329" t="str">
        <f t="shared" si="113"/>
        <v>1851110500</v>
      </c>
      <c r="B329" t="str">
        <f t="shared" si="114"/>
        <v>安佐南・区政調整</v>
      </c>
      <c r="C329" t="str">
        <f t="shared" ref="C329:C335" si="117">"05ﾃ01201"</f>
        <v>05ﾃ01201</v>
      </c>
      <c r="D329" t="str">
        <f t="shared" ref="D329:D335" si="118">"テーブル"</f>
        <v>テーブル</v>
      </c>
      <c r="E329" t="str">
        <f t="shared" ref="E329:E335" si="119">"チトセＶＴタイプ"</f>
        <v>チトセＶＴタイプ</v>
      </c>
      <c r="F329" t="str">
        <f t="shared" si="115"/>
        <v>００６０</v>
      </c>
      <c r="G329" t="str">
        <f>"3590002394"</f>
        <v>3590002394</v>
      </c>
      <c r="H329" t="str">
        <f t="shared" si="116"/>
        <v>001</v>
      </c>
      <c r="I329" t="str">
        <f t="shared" ref="I329:I344" si="120">"4100401"</f>
        <v>4100401</v>
      </c>
      <c r="J329">
        <f>30000</f>
        <v>30000</v>
      </c>
      <c r="K329" t="str">
        <f t="shared" si="112"/>
        <v>台</v>
      </c>
      <c r="L329" t="str">
        <f t="shared" ref="L329:L336" si="121">"3600117"</f>
        <v>3600117</v>
      </c>
      <c r="M329" t="str">
        <f>""</f>
        <v/>
      </c>
    </row>
    <row r="330" spans="1:13" x14ac:dyDescent="0.15">
      <c r="A330" t="str">
        <f t="shared" si="113"/>
        <v>1851110500</v>
      </c>
      <c r="B330" t="str">
        <f t="shared" si="114"/>
        <v>安佐南・区政調整</v>
      </c>
      <c r="C330" t="str">
        <f t="shared" si="117"/>
        <v>05ﾃ01201</v>
      </c>
      <c r="D330" t="str">
        <f t="shared" si="118"/>
        <v>テーブル</v>
      </c>
      <c r="E330" t="str">
        <f t="shared" si="119"/>
        <v>チトセＶＴタイプ</v>
      </c>
      <c r="F330" t="str">
        <f t="shared" si="115"/>
        <v>００６０</v>
      </c>
      <c r="G330" t="str">
        <f>"3590002395"</f>
        <v>3590002395</v>
      </c>
      <c r="H330" t="str">
        <f t="shared" si="116"/>
        <v>001</v>
      </c>
      <c r="I330" t="str">
        <f t="shared" si="120"/>
        <v>4100401</v>
      </c>
      <c r="J330">
        <f>30000</f>
        <v>30000</v>
      </c>
      <c r="K330" t="str">
        <f t="shared" si="112"/>
        <v>台</v>
      </c>
      <c r="L330" t="str">
        <f t="shared" si="121"/>
        <v>3600117</v>
      </c>
      <c r="M330" t="str">
        <f>""</f>
        <v/>
      </c>
    </row>
    <row r="331" spans="1:13" x14ac:dyDescent="0.15">
      <c r="A331" t="str">
        <f t="shared" si="113"/>
        <v>1851110500</v>
      </c>
      <c r="B331" t="str">
        <f t="shared" si="114"/>
        <v>安佐南・区政調整</v>
      </c>
      <c r="C331" t="str">
        <f t="shared" si="117"/>
        <v>05ﾃ01201</v>
      </c>
      <c r="D331" t="str">
        <f t="shared" si="118"/>
        <v>テーブル</v>
      </c>
      <c r="E331" t="str">
        <f t="shared" si="119"/>
        <v>チトセＶＴタイプ</v>
      </c>
      <c r="F331" t="str">
        <f t="shared" si="115"/>
        <v>００６０</v>
      </c>
      <c r="G331" t="str">
        <f>"3590002396"</f>
        <v>3590002396</v>
      </c>
      <c r="H331" t="str">
        <f t="shared" si="116"/>
        <v>001</v>
      </c>
      <c r="I331" t="str">
        <f t="shared" si="120"/>
        <v>4100401</v>
      </c>
      <c r="J331">
        <f>30000</f>
        <v>30000</v>
      </c>
      <c r="K331" t="str">
        <f t="shared" si="112"/>
        <v>台</v>
      </c>
      <c r="L331" t="str">
        <f t="shared" si="121"/>
        <v>3600117</v>
      </c>
      <c r="M331" t="str">
        <f>""</f>
        <v/>
      </c>
    </row>
    <row r="332" spans="1:13" x14ac:dyDescent="0.15">
      <c r="A332" t="str">
        <f t="shared" si="113"/>
        <v>1851110500</v>
      </c>
      <c r="B332" t="str">
        <f t="shared" si="114"/>
        <v>安佐南・区政調整</v>
      </c>
      <c r="C332" t="str">
        <f t="shared" si="117"/>
        <v>05ﾃ01201</v>
      </c>
      <c r="D332" t="str">
        <f t="shared" si="118"/>
        <v>テーブル</v>
      </c>
      <c r="E332" t="str">
        <f t="shared" si="119"/>
        <v>チトセＶＴタイプ</v>
      </c>
      <c r="F332" t="str">
        <f t="shared" si="115"/>
        <v>００６０</v>
      </c>
      <c r="G332" t="str">
        <f>"3590002397"</f>
        <v>3590002397</v>
      </c>
      <c r="H332" t="str">
        <f t="shared" si="116"/>
        <v>001</v>
      </c>
      <c r="I332" t="str">
        <f t="shared" si="120"/>
        <v>4100401</v>
      </c>
      <c r="J332">
        <f>30000</f>
        <v>30000</v>
      </c>
      <c r="K332" t="str">
        <f t="shared" si="112"/>
        <v>台</v>
      </c>
      <c r="L332" t="str">
        <f t="shared" si="121"/>
        <v>3600117</v>
      </c>
      <c r="M332" t="str">
        <f>""</f>
        <v/>
      </c>
    </row>
    <row r="333" spans="1:13" x14ac:dyDescent="0.15">
      <c r="A333" t="str">
        <f t="shared" si="113"/>
        <v>1851110500</v>
      </c>
      <c r="B333" t="str">
        <f t="shared" si="114"/>
        <v>安佐南・区政調整</v>
      </c>
      <c r="C333" t="str">
        <f t="shared" si="117"/>
        <v>05ﾃ01201</v>
      </c>
      <c r="D333" t="str">
        <f t="shared" si="118"/>
        <v>テーブル</v>
      </c>
      <c r="E333" t="str">
        <f t="shared" si="119"/>
        <v>チトセＶＴタイプ</v>
      </c>
      <c r="F333" t="str">
        <f t="shared" si="115"/>
        <v>００６０</v>
      </c>
      <c r="G333" t="str">
        <f>"3590002398"</f>
        <v>3590002398</v>
      </c>
      <c r="H333" t="str">
        <f t="shared" si="116"/>
        <v>001</v>
      </c>
      <c r="I333" t="str">
        <f t="shared" si="120"/>
        <v>4100401</v>
      </c>
      <c r="J333">
        <f>30000</f>
        <v>30000</v>
      </c>
      <c r="K333" t="str">
        <f t="shared" si="112"/>
        <v>台</v>
      </c>
      <c r="L333" t="str">
        <f t="shared" si="121"/>
        <v>3600117</v>
      </c>
      <c r="M333" t="str">
        <f>""</f>
        <v/>
      </c>
    </row>
    <row r="334" spans="1:13" x14ac:dyDescent="0.15">
      <c r="A334" t="str">
        <f t="shared" si="113"/>
        <v>1851110500</v>
      </c>
      <c r="B334" t="str">
        <f t="shared" si="114"/>
        <v>安佐南・区政調整</v>
      </c>
      <c r="C334" t="str">
        <f t="shared" si="117"/>
        <v>05ﾃ01201</v>
      </c>
      <c r="D334" t="str">
        <f t="shared" si="118"/>
        <v>テーブル</v>
      </c>
      <c r="E334" t="str">
        <f t="shared" si="119"/>
        <v>チトセＶＴタイプ</v>
      </c>
      <c r="F334" t="str">
        <f t="shared" si="115"/>
        <v>００６０</v>
      </c>
      <c r="G334" t="str">
        <f>"3590002399"</f>
        <v>3590002399</v>
      </c>
      <c r="H334" t="str">
        <f t="shared" si="116"/>
        <v>001</v>
      </c>
      <c r="I334" t="str">
        <f t="shared" si="120"/>
        <v>4100401</v>
      </c>
      <c r="J334">
        <f>30000</f>
        <v>30000</v>
      </c>
      <c r="K334" t="str">
        <f t="shared" si="112"/>
        <v>台</v>
      </c>
      <c r="L334" t="str">
        <f t="shared" si="121"/>
        <v>3600117</v>
      </c>
      <c r="M334" t="str">
        <f>""</f>
        <v/>
      </c>
    </row>
    <row r="335" spans="1:13" x14ac:dyDescent="0.15">
      <c r="A335" t="str">
        <f t="shared" si="113"/>
        <v>1851110500</v>
      </c>
      <c r="B335" t="str">
        <f t="shared" si="114"/>
        <v>安佐南・区政調整</v>
      </c>
      <c r="C335" t="str">
        <f t="shared" si="117"/>
        <v>05ﾃ01201</v>
      </c>
      <c r="D335" t="str">
        <f t="shared" si="118"/>
        <v>テーブル</v>
      </c>
      <c r="E335" t="str">
        <f t="shared" si="119"/>
        <v>チトセＶＴタイプ</v>
      </c>
      <c r="F335" t="str">
        <f t="shared" si="115"/>
        <v>００６０</v>
      </c>
      <c r="G335" t="str">
        <f>"3590002400"</f>
        <v>3590002400</v>
      </c>
      <c r="H335" t="str">
        <f t="shared" si="116"/>
        <v>001</v>
      </c>
      <c r="I335" t="str">
        <f t="shared" si="120"/>
        <v>4100401</v>
      </c>
      <c r="J335">
        <f>30000</f>
        <v>30000</v>
      </c>
      <c r="K335" t="str">
        <f t="shared" si="112"/>
        <v>台</v>
      </c>
      <c r="L335" t="str">
        <f t="shared" si="121"/>
        <v>3600117</v>
      </c>
      <c r="M335" t="str">
        <f>""</f>
        <v/>
      </c>
    </row>
    <row r="336" spans="1:13" x14ac:dyDescent="0.15">
      <c r="A336" t="str">
        <f t="shared" si="113"/>
        <v>1851110500</v>
      </c>
      <c r="B336" t="str">
        <f t="shared" si="114"/>
        <v>安佐南・区政調整</v>
      </c>
      <c r="C336" t="str">
        <f>"05ﾄ00101"</f>
        <v>05ﾄ00101</v>
      </c>
      <c r="D336" t="str">
        <f>"緞帳"</f>
        <v>緞帳</v>
      </c>
      <c r="E336" t="str">
        <f>"引き割り式２枚１張"</f>
        <v>引き割り式２枚１張</v>
      </c>
      <c r="F336" t="str">
        <f t="shared" si="115"/>
        <v>００６０</v>
      </c>
      <c r="G336" t="str">
        <f>"3590002401"</f>
        <v>3590002401</v>
      </c>
      <c r="H336" t="str">
        <f t="shared" si="116"/>
        <v>001</v>
      </c>
      <c r="I336" t="str">
        <f t="shared" si="120"/>
        <v>4100401</v>
      </c>
      <c r="J336">
        <f>145000</f>
        <v>145000</v>
      </c>
      <c r="K336" t="str">
        <f>"張"</f>
        <v>張</v>
      </c>
      <c r="L336" t="str">
        <f t="shared" si="121"/>
        <v>3600117</v>
      </c>
      <c r="M336" t="str">
        <f>""</f>
        <v/>
      </c>
    </row>
    <row r="337" spans="1:13" x14ac:dyDescent="0.15">
      <c r="A337" t="str">
        <f t="shared" si="113"/>
        <v>1851110500</v>
      </c>
      <c r="B337" t="str">
        <f t="shared" si="114"/>
        <v>安佐南・区政調整</v>
      </c>
      <c r="C337" t="str">
        <f>"05ﾄ00101"</f>
        <v>05ﾄ00101</v>
      </c>
      <c r="D337" t="str">
        <f>"緞帳"</f>
        <v>緞帳</v>
      </c>
      <c r="E337" t="str">
        <f>"７７５×１８００"</f>
        <v>７７５×１８００</v>
      </c>
      <c r="F337" t="str">
        <f t="shared" si="115"/>
        <v>００６０</v>
      </c>
      <c r="G337" t="str">
        <f>"3590002402"</f>
        <v>3590002402</v>
      </c>
      <c r="H337" t="str">
        <f t="shared" si="116"/>
        <v>001</v>
      </c>
      <c r="I337" t="str">
        <f t="shared" si="120"/>
        <v>4100401</v>
      </c>
      <c r="J337">
        <f>21000000</f>
        <v>21000000</v>
      </c>
      <c r="K337" t="str">
        <f>"張"</f>
        <v>張</v>
      </c>
      <c r="L337" t="str">
        <f>"3600121"</f>
        <v>3600121</v>
      </c>
      <c r="M337" t="str">
        <f>""</f>
        <v/>
      </c>
    </row>
    <row r="338" spans="1:13" x14ac:dyDescent="0.15">
      <c r="A338" t="str">
        <f t="shared" si="113"/>
        <v>1851110500</v>
      </c>
      <c r="B338" t="str">
        <f t="shared" si="114"/>
        <v>安佐南・区政調整</v>
      </c>
      <c r="C338" t="str">
        <f>"05ﾋ00101"</f>
        <v>05ﾋ00101</v>
      </c>
      <c r="D338" t="str">
        <f>"びょうぶ"</f>
        <v>びょうぶ</v>
      </c>
      <c r="E338" t="str">
        <f>"イトーＥＸＢ１５・６曲１双"</f>
        <v>イトーＥＸＢ１５・６曲１双</v>
      </c>
      <c r="F338" t="str">
        <f t="shared" si="115"/>
        <v>００６０</v>
      </c>
      <c r="G338" t="str">
        <f>"3590002403"</f>
        <v>3590002403</v>
      </c>
      <c r="H338" t="str">
        <f t="shared" si="116"/>
        <v>001</v>
      </c>
      <c r="I338" t="str">
        <f t="shared" si="120"/>
        <v>4100401</v>
      </c>
      <c r="J338">
        <f>402600</f>
        <v>402600</v>
      </c>
      <c r="K338" t="str">
        <f>"双"</f>
        <v>双</v>
      </c>
      <c r="L338" t="str">
        <f>"3600117"</f>
        <v>3600117</v>
      </c>
      <c r="M338" t="str">
        <f>""</f>
        <v/>
      </c>
    </row>
    <row r="339" spans="1:13" x14ac:dyDescent="0.15">
      <c r="A339" t="str">
        <f t="shared" si="113"/>
        <v>1851110500</v>
      </c>
      <c r="B339" t="str">
        <f t="shared" si="114"/>
        <v>安佐南・区政調整</v>
      </c>
      <c r="C339" t="str">
        <f t="shared" ref="C339:C344" si="122">"05ﾌ02401"</f>
        <v>05ﾌ02401</v>
      </c>
      <c r="D339" t="str">
        <f t="shared" ref="D339:D344" si="123">"踏台"</f>
        <v>踏台</v>
      </c>
      <c r="E339" t="str">
        <f>"ヒナ段用階段４尺×２段"</f>
        <v>ヒナ段用階段４尺×２段</v>
      </c>
      <c r="F339" t="str">
        <f t="shared" si="115"/>
        <v>００６０</v>
      </c>
      <c r="G339" t="str">
        <f>"3590002404"</f>
        <v>3590002404</v>
      </c>
      <c r="H339" t="str">
        <f t="shared" si="116"/>
        <v>001</v>
      </c>
      <c r="I339" t="str">
        <f t="shared" si="120"/>
        <v>4100401</v>
      </c>
      <c r="J339">
        <f>30000</f>
        <v>30000</v>
      </c>
      <c r="K339" t="str">
        <f t="shared" ref="K339:K344" si="124">"個"</f>
        <v>個</v>
      </c>
      <c r="L339" t="str">
        <f t="shared" ref="L339:L344" si="125">"3600110"</f>
        <v>3600110</v>
      </c>
      <c r="M339" t="str">
        <f>""</f>
        <v/>
      </c>
    </row>
    <row r="340" spans="1:13" x14ac:dyDescent="0.15">
      <c r="A340" t="str">
        <f t="shared" si="113"/>
        <v>1851110500</v>
      </c>
      <c r="B340" t="str">
        <f t="shared" si="114"/>
        <v>安佐南・区政調整</v>
      </c>
      <c r="C340" t="str">
        <f t="shared" si="122"/>
        <v>05ﾌ02401</v>
      </c>
      <c r="D340" t="str">
        <f t="shared" si="123"/>
        <v>踏台</v>
      </c>
      <c r="E340" t="str">
        <f>"ヒナ段用階段４尺×２段"</f>
        <v>ヒナ段用階段４尺×２段</v>
      </c>
      <c r="F340" t="str">
        <f t="shared" si="115"/>
        <v>００６０</v>
      </c>
      <c r="G340" t="str">
        <f>"3590002405"</f>
        <v>3590002405</v>
      </c>
      <c r="H340" t="str">
        <f t="shared" si="116"/>
        <v>001</v>
      </c>
      <c r="I340" t="str">
        <f t="shared" si="120"/>
        <v>4100401</v>
      </c>
      <c r="J340">
        <f>30000</f>
        <v>30000</v>
      </c>
      <c r="K340" t="str">
        <f t="shared" si="124"/>
        <v>個</v>
      </c>
      <c r="L340" t="str">
        <f t="shared" si="125"/>
        <v>3600110</v>
      </c>
      <c r="M340" t="str">
        <f>""</f>
        <v/>
      </c>
    </row>
    <row r="341" spans="1:13" x14ac:dyDescent="0.15">
      <c r="A341" t="str">
        <f t="shared" si="113"/>
        <v>1851110500</v>
      </c>
      <c r="B341" t="str">
        <f t="shared" si="114"/>
        <v>安佐南・区政調整</v>
      </c>
      <c r="C341" t="str">
        <f t="shared" si="122"/>
        <v>05ﾌ02401</v>
      </c>
      <c r="D341" t="str">
        <f t="shared" si="123"/>
        <v>踏台</v>
      </c>
      <c r="E341" t="str">
        <f>"ヒナ段用階段４尺×１段"</f>
        <v>ヒナ段用階段４尺×１段</v>
      </c>
      <c r="F341" t="str">
        <f t="shared" si="115"/>
        <v>００６０</v>
      </c>
      <c r="G341" t="str">
        <f>"3590002406"</f>
        <v>3590002406</v>
      </c>
      <c r="H341" t="str">
        <f t="shared" si="116"/>
        <v>001</v>
      </c>
      <c r="I341" t="str">
        <f t="shared" si="120"/>
        <v>4100401</v>
      </c>
      <c r="J341">
        <f>20000</f>
        <v>20000</v>
      </c>
      <c r="K341" t="str">
        <f t="shared" si="124"/>
        <v>個</v>
      </c>
      <c r="L341" t="str">
        <f t="shared" si="125"/>
        <v>3600110</v>
      </c>
      <c r="M341" t="str">
        <f>""</f>
        <v/>
      </c>
    </row>
    <row r="342" spans="1:13" x14ac:dyDescent="0.15">
      <c r="A342" t="str">
        <f t="shared" si="113"/>
        <v>1851110500</v>
      </c>
      <c r="B342" t="str">
        <f t="shared" si="114"/>
        <v>安佐南・区政調整</v>
      </c>
      <c r="C342" t="str">
        <f t="shared" si="122"/>
        <v>05ﾌ02401</v>
      </c>
      <c r="D342" t="str">
        <f t="shared" si="123"/>
        <v>踏台</v>
      </c>
      <c r="E342" t="str">
        <f>"ヒナ段用階段４尺×１段"</f>
        <v>ヒナ段用階段４尺×１段</v>
      </c>
      <c r="F342" t="str">
        <f t="shared" si="115"/>
        <v>００６０</v>
      </c>
      <c r="G342" t="str">
        <f>"3590002407"</f>
        <v>3590002407</v>
      </c>
      <c r="H342" t="str">
        <f t="shared" si="116"/>
        <v>001</v>
      </c>
      <c r="I342" t="str">
        <f t="shared" si="120"/>
        <v>4100401</v>
      </c>
      <c r="J342">
        <f>20000</f>
        <v>20000</v>
      </c>
      <c r="K342" t="str">
        <f t="shared" si="124"/>
        <v>個</v>
      </c>
      <c r="L342" t="str">
        <f t="shared" si="125"/>
        <v>3600110</v>
      </c>
      <c r="M342" t="str">
        <f>""</f>
        <v/>
      </c>
    </row>
    <row r="343" spans="1:13" x14ac:dyDescent="0.15">
      <c r="A343" t="str">
        <f t="shared" si="113"/>
        <v>1851110500</v>
      </c>
      <c r="B343" t="str">
        <f t="shared" si="114"/>
        <v>安佐南・区政調整</v>
      </c>
      <c r="C343" t="str">
        <f t="shared" si="122"/>
        <v>05ﾌ02401</v>
      </c>
      <c r="D343" t="str">
        <f t="shared" si="123"/>
        <v>踏台</v>
      </c>
      <c r="E343" t="str">
        <f>"ステージ階段３尺巾"</f>
        <v>ステージ階段３尺巾</v>
      </c>
      <c r="F343" t="str">
        <f t="shared" si="115"/>
        <v>００６０</v>
      </c>
      <c r="G343" t="str">
        <f>"3590002408"</f>
        <v>3590002408</v>
      </c>
      <c r="H343" t="str">
        <f t="shared" si="116"/>
        <v>001</v>
      </c>
      <c r="I343" t="str">
        <f t="shared" si="120"/>
        <v>4100401</v>
      </c>
      <c r="J343">
        <f>40000</f>
        <v>40000</v>
      </c>
      <c r="K343" t="str">
        <f t="shared" si="124"/>
        <v>個</v>
      </c>
      <c r="L343" t="str">
        <f t="shared" si="125"/>
        <v>3600110</v>
      </c>
      <c r="M343" t="str">
        <f>""</f>
        <v/>
      </c>
    </row>
    <row r="344" spans="1:13" x14ac:dyDescent="0.15">
      <c r="A344" t="str">
        <f t="shared" si="113"/>
        <v>1851110500</v>
      </c>
      <c r="B344" t="str">
        <f t="shared" si="114"/>
        <v>安佐南・区政調整</v>
      </c>
      <c r="C344" t="str">
        <f t="shared" si="122"/>
        <v>05ﾌ02401</v>
      </c>
      <c r="D344" t="str">
        <f t="shared" si="123"/>
        <v>踏台</v>
      </c>
      <c r="E344" t="str">
        <f>"ステージ階段３尺巾"</f>
        <v>ステージ階段３尺巾</v>
      </c>
      <c r="F344" t="str">
        <f t="shared" si="115"/>
        <v>００６０</v>
      </c>
      <c r="G344" t="str">
        <f>"3590002409"</f>
        <v>3590002409</v>
      </c>
      <c r="H344" t="str">
        <f t="shared" si="116"/>
        <v>001</v>
      </c>
      <c r="I344" t="str">
        <f t="shared" si="120"/>
        <v>4100401</v>
      </c>
      <c r="J344">
        <f>40000</f>
        <v>40000</v>
      </c>
      <c r="K344" t="str">
        <f t="shared" si="124"/>
        <v>個</v>
      </c>
      <c r="L344" t="str">
        <f t="shared" si="125"/>
        <v>3600110</v>
      </c>
      <c r="M344" t="str">
        <f>""</f>
        <v/>
      </c>
    </row>
    <row r="345" spans="1:13" x14ac:dyDescent="0.15">
      <c r="A345" t="str">
        <f t="shared" si="113"/>
        <v>1851110500</v>
      </c>
      <c r="B345" t="str">
        <f t="shared" si="114"/>
        <v>安佐南・区政調整</v>
      </c>
      <c r="C345" t="str">
        <f>"05ﾌ02501"</f>
        <v>05ﾌ02501</v>
      </c>
      <c r="D345" t="str">
        <f>"譜面台"</f>
        <v>譜面台</v>
      </c>
      <c r="E345" t="str">
        <f>"指揮者用オオハシＭＳ－Ｄ４４０"</f>
        <v>指揮者用オオハシＭＳ－Ｄ４４０</v>
      </c>
      <c r="F345" t="str">
        <f t="shared" si="115"/>
        <v>００６０</v>
      </c>
      <c r="G345" t="str">
        <f>"4150003652"</f>
        <v>4150003652</v>
      </c>
      <c r="H345" t="str">
        <f t="shared" si="116"/>
        <v>001</v>
      </c>
      <c r="I345" t="str">
        <f>"4160224"</f>
        <v>4160224</v>
      </c>
      <c r="J345">
        <f>50400</f>
        <v>50400</v>
      </c>
      <c r="K345" t="str">
        <f>"台"</f>
        <v>台</v>
      </c>
      <c r="L345" t="str">
        <f>"4160224"</f>
        <v>4160224</v>
      </c>
      <c r="M345" t="str">
        <f>"4160224"</f>
        <v>4160224</v>
      </c>
    </row>
    <row r="346" spans="1:13" x14ac:dyDescent="0.15">
      <c r="A346" t="str">
        <f t="shared" si="113"/>
        <v>1851110500</v>
      </c>
      <c r="B346" t="str">
        <f t="shared" si="114"/>
        <v>安佐南・区政調整</v>
      </c>
      <c r="C346" t="str">
        <f>"05ﾐ00101"</f>
        <v>05ﾐ00101</v>
      </c>
      <c r="D346" t="str">
        <f>"水屋"</f>
        <v>水屋</v>
      </c>
      <c r="E346" t="str">
        <f>"カリモクＥＳ３０００ＮＲ"</f>
        <v>カリモクＥＳ３０００ＮＲ</v>
      </c>
      <c r="F346" t="str">
        <f t="shared" si="115"/>
        <v>００６０</v>
      </c>
      <c r="G346" t="str">
        <f>"3590002413"</f>
        <v>3590002413</v>
      </c>
      <c r="H346" t="str">
        <f t="shared" si="116"/>
        <v>001</v>
      </c>
      <c r="I346" t="str">
        <f t="shared" ref="I346:I352" si="126">"4100401"</f>
        <v>4100401</v>
      </c>
      <c r="J346">
        <f>87400</f>
        <v>87400</v>
      </c>
      <c r="K346" t="str">
        <f>"個"</f>
        <v>個</v>
      </c>
      <c r="L346" t="str">
        <f>"3600108"</f>
        <v>3600108</v>
      </c>
      <c r="M346" t="str">
        <f>""</f>
        <v/>
      </c>
    </row>
    <row r="347" spans="1:13" x14ac:dyDescent="0.15">
      <c r="A347" t="str">
        <f t="shared" si="113"/>
        <v>1851110500</v>
      </c>
      <c r="B347" t="str">
        <f t="shared" si="114"/>
        <v>安佐南・区政調整</v>
      </c>
      <c r="C347" t="str">
        <f>"05ﾐ00101"</f>
        <v>05ﾐ00101</v>
      </c>
      <c r="D347" t="str">
        <f>"水屋"</f>
        <v>水屋</v>
      </c>
      <c r="E347" t="str">
        <f>"カリモクＥＳ１５０８ＮＲ"</f>
        <v>カリモクＥＳ１５０８ＮＲ</v>
      </c>
      <c r="F347" t="str">
        <f t="shared" si="115"/>
        <v>００６０</v>
      </c>
      <c r="G347" t="str">
        <f>"3590002414"</f>
        <v>3590002414</v>
      </c>
      <c r="H347" t="str">
        <f t="shared" si="116"/>
        <v>001</v>
      </c>
      <c r="I347" t="str">
        <f t="shared" si="126"/>
        <v>4100401</v>
      </c>
      <c r="J347">
        <f>51500</f>
        <v>51500</v>
      </c>
      <c r="K347" t="str">
        <f>"個"</f>
        <v>個</v>
      </c>
      <c r="L347" t="str">
        <f>"3600108"</f>
        <v>3600108</v>
      </c>
      <c r="M347" t="str">
        <f>""</f>
        <v/>
      </c>
    </row>
    <row r="348" spans="1:13" x14ac:dyDescent="0.15">
      <c r="A348" t="str">
        <f t="shared" si="113"/>
        <v>1851110500</v>
      </c>
      <c r="B348" t="str">
        <f t="shared" si="114"/>
        <v>安佐南・区政調整</v>
      </c>
      <c r="C348" t="str">
        <f>"05ﾐ00101"</f>
        <v>05ﾐ00101</v>
      </c>
      <c r="D348" t="str">
        <f>"水屋"</f>
        <v>水屋</v>
      </c>
      <c r="E348" t="str">
        <f>"カリモクＥＳ１５０８ＮＲ"</f>
        <v>カリモクＥＳ１５０８ＮＲ</v>
      </c>
      <c r="F348" t="str">
        <f t="shared" si="115"/>
        <v>００６０</v>
      </c>
      <c r="G348" t="str">
        <f>"3590002415"</f>
        <v>3590002415</v>
      </c>
      <c r="H348" t="str">
        <f t="shared" si="116"/>
        <v>001</v>
      </c>
      <c r="I348" t="str">
        <f t="shared" si="126"/>
        <v>4100401</v>
      </c>
      <c r="J348">
        <f>51500</f>
        <v>51500</v>
      </c>
      <c r="K348" t="str">
        <f>"個"</f>
        <v>個</v>
      </c>
      <c r="L348" t="str">
        <f>"3600108"</f>
        <v>3600108</v>
      </c>
      <c r="M348" t="str">
        <f>""</f>
        <v/>
      </c>
    </row>
    <row r="349" spans="1:13" x14ac:dyDescent="0.15">
      <c r="A349" t="str">
        <f t="shared" si="113"/>
        <v>1851110500</v>
      </c>
      <c r="B349" t="str">
        <f t="shared" si="114"/>
        <v>安佐南・区政調整</v>
      </c>
      <c r="C349" t="str">
        <f>"05ﾐ00101"</f>
        <v>05ﾐ00101</v>
      </c>
      <c r="D349" t="str">
        <f>"水屋"</f>
        <v>水屋</v>
      </c>
      <c r="E349" t="str">
        <f>"カリモクＥＳ１５０８ＮＲ"</f>
        <v>カリモクＥＳ１５０８ＮＲ</v>
      </c>
      <c r="F349" t="str">
        <f t="shared" si="115"/>
        <v>００６０</v>
      </c>
      <c r="G349" t="str">
        <f>"3590002416"</f>
        <v>3590002416</v>
      </c>
      <c r="H349" t="str">
        <f t="shared" si="116"/>
        <v>001</v>
      </c>
      <c r="I349" t="str">
        <f t="shared" si="126"/>
        <v>4100401</v>
      </c>
      <c r="J349">
        <f>51500</f>
        <v>51500</v>
      </c>
      <c r="K349" t="str">
        <f>"個"</f>
        <v>個</v>
      </c>
      <c r="L349" t="str">
        <f>"3600108"</f>
        <v>3600108</v>
      </c>
      <c r="M349" t="str">
        <f>""</f>
        <v/>
      </c>
    </row>
    <row r="350" spans="1:13" x14ac:dyDescent="0.15">
      <c r="A350" t="str">
        <f t="shared" si="113"/>
        <v>1851110500</v>
      </c>
      <c r="B350" t="str">
        <f t="shared" si="114"/>
        <v>安佐南・区政調整</v>
      </c>
      <c r="C350" t="str">
        <f>"05ﾐ00501"</f>
        <v>05ﾐ00501</v>
      </c>
      <c r="D350" t="str">
        <f>"ミラーボール"</f>
        <v>ミラーボール</v>
      </c>
      <c r="E350" t="str">
        <f>"４５０φ変速吊下型"</f>
        <v>４５０φ変速吊下型</v>
      </c>
      <c r="F350" t="str">
        <f t="shared" si="115"/>
        <v>００６０</v>
      </c>
      <c r="G350" t="str">
        <f>"3590002417"</f>
        <v>3590002417</v>
      </c>
      <c r="H350" t="str">
        <f t="shared" si="116"/>
        <v>001</v>
      </c>
      <c r="I350" t="str">
        <f t="shared" si="126"/>
        <v>4100401</v>
      </c>
      <c r="J350">
        <f>96500</f>
        <v>96500</v>
      </c>
      <c r="K350" t="str">
        <f>"個"</f>
        <v>個</v>
      </c>
      <c r="L350" t="str">
        <f>"3600116"</f>
        <v>3600116</v>
      </c>
      <c r="M350" t="str">
        <f>""</f>
        <v/>
      </c>
    </row>
    <row r="351" spans="1:13" x14ac:dyDescent="0.15">
      <c r="A351" t="str">
        <f t="shared" si="113"/>
        <v>1851110500</v>
      </c>
      <c r="B351" t="str">
        <f t="shared" si="114"/>
        <v>安佐南・区政調整</v>
      </c>
      <c r="C351" t="str">
        <f>"05ﾚ00202"</f>
        <v>05ﾚ00202</v>
      </c>
      <c r="D351" t="str">
        <f>"電気冷蔵庫"</f>
        <v>電気冷蔵庫</v>
      </c>
      <c r="E351" t="str">
        <f>"業務用"</f>
        <v>業務用</v>
      </c>
      <c r="F351" t="str">
        <f t="shared" si="115"/>
        <v>００６０</v>
      </c>
      <c r="G351" t="str">
        <f>"3590002418"</f>
        <v>3590002418</v>
      </c>
      <c r="H351" t="str">
        <f t="shared" si="116"/>
        <v>001</v>
      </c>
      <c r="I351" t="str">
        <f t="shared" si="126"/>
        <v>4100401</v>
      </c>
      <c r="J351">
        <f>310000</f>
        <v>310000</v>
      </c>
      <c r="K351" t="str">
        <f t="shared" ref="K351:K369" si="127">"台"</f>
        <v>台</v>
      </c>
      <c r="L351" t="str">
        <f>"3591226"</f>
        <v>3591226</v>
      </c>
      <c r="M351" t="str">
        <f>""</f>
        <v/>
      </c>
    </row>
    <row r="352" spans="1:13" x14ac:dyDescent="0.15">
      <c r="A352" t="str">
        <f t="shared" si="113"/>
        <v>1851110500</v>
      </c>
      <c r="B352" t="str">
        <f t="shared" si="114"/>
        <v>安佐南・区政調整</v>
      </c>
      <c r="C352" t="str">
        <f>"05ﾚ00202"</f>
        <v>05ﾚ00202</v>
      </c>
      <c r="D352" t="str">
        <f>"電気冷蔵庫"</f>
        <v>電気冷蔵庫</v>
      </c>
      <c r="E352" t="str">
        <f>"ナショナルＮＲ‐１７５ＴＲ"</f>
        <v>ナショナルＮＲ‐１７５ＴＲ</v>
      </c>
      <c r="F352" t="str">
        <f t="shared" si="115"/>
        <v>００６０</v>
      </c>
      <c r="G352" t="str">
        <f>"3590002419"</f>
        <v>3590002419</v>
      </c>
      <c r="H352" t="str">
        <f t="shared" si="116"/>
        <v>001</v>
      </c>
      <c r="I352" t="str">
        <f t="shared" si="126"/>
        <v>4100401</v>
      </c>
      <c r="J352">
        <f>86000</f>
        <v>86000</v>
      </c>
      <c r="K352" t="str">
        <f t="shared" si="127"/>
        <v>台</v>
      </c>
      <c r="L352" t="str">
        <f>"3600108"</f>
        <v>3600108</v>
      </c>
      <c r="M352" t="str">
        <f>""</f>
        <v/>
      </c>
    </row>
    <row r="353" spans="1:13" x14ac:dyDescent="0.15">
      <c r="A353" t="str">
        <f t="shared" si="113"/>
        <v>1851110500</v>
      </c>
      <c r="B353" t="str">
        <f t="shared" si="114"/>
        <v>安佐南・区政調整</v>
      </c>
      <c r="C353" t="str">
        <f>"05ﾚ00202"</f>
        <v>05ﾚ00202</v>
      </c>
      <c r="D353" t="str">
        <f>"電気冷蔵庫"</f>
        <v>電気冷蔵庫</v>
      </c>
      <c r="E353" t="str">
        <f>"パナソニック　ＮＲ－Ｖ１７５Ｍ"</f>
        <v>パナソニック　ＮＲ－Ｖ１７５Ｍ</v>
      </c>
      <c r="F353" t="str">
        <f t="shared" si="115"/>
        <v>００６０</v>
      </c>
      <c r="G353" t="str">
        <f>"4250001408"</f>
        <v>4250001408</v>
      </c>
      <c r="H353" t="str">
        <f t="shared" si="116"/>
        <v>001</v>
      </c>
      <c r="I353" t="str">
        <f>"4250911"</f>
        <v>4250911</v>
      </c>
      <c r="J353">
        <f>45000</f>
        <v>45000</v>
      </c>
      <c r="K353" t="str">
        <f t="shared" si="127"/>
        <v>台</v>
      </c>
      <c r="L353" t="str">
        <f>"4250905"</f>
        <v>4250905</v>
      </c>
      <c r="M353" t="str">
        <f>"4250905"</f>
        <v>4250905</v>
      </c>
    </row>
    <row r="354" spans="1:13" x14ac:dyDescent="0.15">
      <c r="A354" t="str">
        <f t="shared" si="113"/>
        <v>1851110500</v>
      </c>
      <c r="B354" t="str">
        <f t="shared" si="114"/>
        <v>安佐南・区政調整</v>
      </c>
      <c r="C354" t="str">
        <f>"05ﾚ00501"</f>
        <v>05ﾚ00501</v>
      </c>
      <c r="D354" t="str">
        <f>"冷暖房機"</f>
        <v>冷暖房機</v>
      </c>
      <c r="E354" t="str">
        <f>"ダイキン工業㈱　ＳＹＶＰ２２４ＰＧ"</f>
        <v>ダイキン工業㈱　ＳＹＶＰ２２４ＰＧ</v>
      </c>
      <c r="F354" t="str">
        <f t="shared" si="115"/>
        <v>００６０</v>
      </c>
      <c r="G354" t="str">
        <f>"4180001870"</f>
        <v>4180001870</v>
      </c>
      <c r="H354" t="str">
        <f t="shared" si="116"/>
        <v>001</v>
      </c>
      <c r="I354" t="str">
        <f>"4190319"</f>
        <v>4190319</v>
      </c>
      <c r="J354">
        <f>629454</f>
        <v>629454</v>
      </c>
      <c r="K354" t="str">
        <f t="shared" si="127"/>
        <v>台</v>
      </c>
      <c r="L354" t="str">
        <f>"4190319"</f>
        <v>4190319</v>
      </c>
      <c r="M354" t="str">
        <f>"4190320"</f>
        <v>4190320</v>
      </c>
    </row>
    <row r="355" spans="1:13" x14ac:dyDescent="0.15">
      <c r="A355" t="str">
        <f t="shared" si="113"/>
        <v>1851110500</v>
      </c>
      <c r="B355" t="str">
        <f t="shared" si="114"/>
        <v>安佐南・区政調整</v>
      </c>
      <c r="C355" t="str">
        <f>"05ﾛ00201"</f>
        <v>05ﾛ00201</v>
      </c>
      <c r="D355" t="str">
        <f>"ろくろ（陶芸用）"</f>
        <v>ろくろ（陶芸用）</v>
      </c>
      <c r="E355" t="str">
        <f>"ウチダＡ‐２５Ｅ"</f>
        <v>ウチダＡ‐２５Ｅ</v>
      </c>
      <c r="F355" t="str">
        <f t="shared" si="115"/>
        <v>００６０</v>
      </c>
      <c r="G355" t="str">
        <f>"3590002420"</f>
        <v>3590002420</v>
      </c>
      <c r="H355" t="str">
        <f t="shared" si="116"/>
        <v>001</v>
      </c>
      <c r="I355" t="str">
        <f>"4100401"</f>
        <v>4100401</v>
      </c>
      <c r="J355">
        <f>71900</f>
        <v>71900</v>
      </c>
      <c r="K355" t="str">
        <f t="shared" si="127"/>
        <v>台</v>
      </c>
      <c r="L355" t="str">
        <f>"3600107"</f>
        <v>3600107</v>
      </c>
      <c r="M355" t="str">
        <f>""</f>
        <v/>
      </c>
    </row>
    <row r="356" spans="1:13" x14ac:dyDescent="0.15">
      <c r="A356" t="str">
        <f t="shared" si="113"/>
        <v>1851110500</v>
      </c>
      <c r="B356" t="str">
        <f t="shared" si="114"/>
        <v>安佐南・区政調整</v>
      </c>
      <c r="C356" t="str">
        <f>"05ﾛ00201"</f>
        <v>05ﾛ00201</v>
      </c>
      <c r="D356" t="str">
        <f>"ろくろ（陶芸用）"</f>
        <v>ろくろ（陶芸用）</v>
      </c>
      <c r="E356" t="str">
        <f>"ウチダＡ‐２５Ｅ"</f>
        <v>ウチダＡ‐２５Ｅ</v>
      </c>
      <c r="F356" t="str">
        <f t="shared" si="115"/>
        <v>００６０</v>
      </c>
      <c r="G356" t="str">
        <f>"3590002421"</f>
        <v>3590002421</v>
      </c>
      <c r="H356" t="str">
        <f t="shared" si="116"/>
        <v>001</v>
      </c>
      <c r="I356" t="str">
        <f>"4100401"</f>
        <v>4100401</v>
      </c>
      <c r="J356">
        <f>71900</f>
        <v>71900</v>
      </c>
      <c r="K356" t="str">
        <f t="shared" si="127"/>
        <v>台</v>
      </c>
      <c r="L356" t="str">
        <f>"3600107"</f>
        <v>3600107</v>
      </c>
      <c r="M356" t="str">
        <f>""</f>
        <v/>
      </c>
    </row>
    <row r="357" spans="1:13" x14ac:dyDescent="0.15">
      <c r="A357" t="str">
        <f t="shared" si="113"/>
        <v>1851110500</v>
      </c>
      <c r="B357" t="str">
        <f t="shared" si="114"/>
        <v>安佐南・区政調整</v>
      </c>
      <c r="C357" t="str">
        <f>"06ｸ00201"</f>
        <v>06ｸ00201</v>
      </c>
      <c r="D357" t="str">
        <f>"車椅子"</f>
        <v>車椅子</v>
      </c>
      <c r="E357" t="str">
        <f>"（株）松永製作所　ＡＲ－２０１Ｂ"</f>
        <v>（株）松永製作所　ＡＲ－２０１Ｂ</v>
      </c>
      <c r="F357" t="str">
        <f t="shared" si="115"/>
        <v>００６０</v>
      </c>
      <c r="G357" t="str">
        <f>"4250003449"</f>
        <v>4250003449</v>
      </c>
      <c r="H357" t="str">
        <f t="shared" si="116"/>
        <v>001</v>
      </c>
      <c r="I357" t="str">
        <f>"4260117"</f>
        <v>4260117</v>
      </c>
      <c r="J357">
        <f>20000</f>
        <v>20000</v>
      </c>
      <c r="K357" t="str">
        <f t="shared" si="127"/>
        <v>台</v>
      </c>
      <c r="L357" t="str">
        <f>"4260117"</f>
        <v>4260117</v>
      </c>
      <c r="M357" t="str">
        <f>"4260117"</f>
        <v>4260117</v>
      </c>
    </row>
    <row r="358" spans="1:13" x14ac:dyDescent="0.15">
      <c r="A358" t="str">
        <f t="shared" si="113"/>
        <v>1851110500</v>
      </c>
      <c r="B358" t="str">
        <f t="shared" si="114"/>
        <v>安佐南・区政調整</v>
      </c>
      <c r="C358" t="str">
        <f>"06ｸ00201"</f>
        <v>06ｸ00201</v>
      </c>
      <c r="D358" t="str">
        <f>"車椅子"</f>
        <v>車椅子</v>
      </c>
      <c r="E358" t="str">
        <f>"（株）松永製作所　ＡＲ－２０１Ｂ"</f>
        <v>（株）松永製作所　ＡＲ－２０１Ｂ</v>
      </c>
      <c r="F358" t="str">
        <f t="shared" si="115"/>
        <v>００６０</v>
      </c>
      <c r="G358" t="str">
        <f>"4250003449"</f>
        <v>4250003449</v>
      </c>
      <c r="H358" t="str">
        <f>"002"</f>
        <v>002</v>
      </c>
      <c r="I358" t="str">
        <f>"4260117"</f>
        <v>4260117</v>
      </c>
      <c r="J358">
        <f>20000</f>
        <v>20000</v>
      </c>
      <c r="K358" t="str">
        <f t="shared" si="127"/>
        <v>台</v>
      </c>
      <c r="L358" t="str">
        <f>"4260117"</f>
        <v>4260117</v>
      </c>
      <c r="M358" t="str">
        <f>"4260117"</f>
        <v>4260117</v>
      </c>
    </row>
    <row r="359" spans="1:13" x14ac:dyDescent="0.15">
      <c r="A359" t="str">
        <f t="shared" si="113"/>
        <v>1851110500</v>
      </c>
      <c r="B359" t="str">
        <f t="shared" si="114"/>
        <v>安佐南・区政調整</v>
      </c>
      <c r="C359" t="str">
        <f>"06ｹ00201"</f>
        <v>06ｹ00201</v>
      </c>
      <c r="D359" t="str">
        <f>"軽四輪ライトバン"</f>
        <v>軽四輪ライトバン</v>
      </c>
      <c r="E359" t="str">
        <f>"三菱ミニカ　ＨＢＤ－Ｈ４２Ｖ"</f>
        <v>三菱ミニカ　ＨＢＤ－Ｈ４２Ｖ</v>
      </c>
      <c r="F359" t="str">
        <f t="shared" si="115"/>
        <v>００６０</v>
      </c>
      <c r="G359" t="str">
        <f>"4180001876"</f>
        <v>4180001876</v>
      </c>
      <c r="H359" t="str">
        <f t="shared" ref="H359:H373" si="128">"001"</f>
        <v>001</v>
      </c>
      <c r="I359" t="str">
        <f>"4190130"</f>
        <v>4190130</v>
      </c>
      <c r="J359">
        <f>601650</f>
        <v>601650</v>
      </c>
      <c r="K359" t="str">
        <f t="shared" si="127"/>
        <v>台</v>
      </c>
      <c r="L359" t="str">
        <f>"4190130"</f>
        <v>4190130</v>
      </c>
      <c r="M359" t="str">
        <f>"4190130"</f>
        <v>4190130</v>
      </c>
    </row>
    <row r="360" spans="1:13" x14ac:dyDescent="0.15">
      <c r="A360" t="str">
        <f t="shared" si="113"/>
        <v>1851110500</v>
      </c>
      <c r="B360" t="str">
        <f t="shared" si="114"/>
        <v>安佐南・区政調整</v>
      </c>
      <c r="C360" t="str">
        <f t="shared" ref="C360:C369" si="129">"06ﾀ00401"</f>
        <v>06ﾀ00401</v>
      </c>
      <c r="D360" t="str">
        <f t="shared" ref="D360:D369" si="130">"台車"</f>
        <v>台車</v>
      </c>
      <c r="E360" t="str">
        <f>"所作台運搬車"</f>
        <v>所作台運搬車</v>
      </c>
      <c r="F360" t="str">
        <f t="shared" si="115"/>
        <v>００６０</v>
      </c>
      <c r="G360" t="str">
        <f>"3590002424"</f>
        <v>3590002424</v>
      </c>
      <c r="H360" t="str">
        <f t="shared" si="128"/>
        <v>001</v>
      </c>
      <c r="I360" t="str">
        <f>"4100401"</f>
        <v>4100401</v>
      </c>
      <c r="J360">
        <f>50000</f>
        <v>50000</v>
      </c>
      <c r="K360" t="str">
        <f t="shared" si="127"/>
        <v>台</v>
      </c>
      <c r="L360" t="str">
        <f>"3600110"</f>
        <v>3600110</v>
      </c>
      <c r="M360" t="str">
        <f>""</f>
        <v/>
      </c>
    </row>
    <row r="361" spans="1:13" x14ac:dyDescent="0.15">
      <c r="A361" t="str">
        <f t="shared" si="113"/>
        <v>1851110500</v>
      </c>
      <c r="B361" t="str">
        <f t="shared" si="114"/>
        <v>安佐南・区政調整</v>
      </c>
      <c r="C361" t="str">
        <f t="shared" si="129"/>
        <v>06ﾀ00401</v>
      </c>
      <c r="D361" t="str">
        <f t="shared" si="130"/>
        <v>台車</v>
      </c>
      <c r="E361" t="str">
        <f>"所作台運搬車"</f>
        <v>所作台運搬車</v>
      </c>
      <c r="F361" t="str">
        <f t="shared" si="115"/>
        <v>００６０</v>
      </c>
      <c r="G361" t="str">
        <f>"3590002425"</f>
        <v>3590002425</v>
      </c>
      <c r="H361" t="str">
        <f t="shared" si="128"/>
        <v>001</v>
      </c>
      <c r="I361" t="str">
        <f>"4100401"</f>
        <v>4100401</v>
      </c>
      <c r="J361">
        <f>50000</f>
        <v>50000</v>
      </c>
      <c r="K361" t="str">
        <f t="shared" si="127"/>
        <v>台</v>
      </c>
      <c r="L361" t="str">
        <f>"3600110"</f>
        <v>3600110</v>
      </c>
      <c r="M361" t="str">
        <f>""</f>
        <v/>
      </c>
    </row>
    <row r="362" spans="1:13" x14ac:dyDescent="0.15">
      <c r="A362" t="str">
        <f t="shared" si="113"/>
        <v>1851110500</v>
      </c>
      <c r="B362" t="str">
        <f t="shared" si="114"/>
        <v>安佐南・区政調整</v>
      </c>
      <c r="C362" t="str">
        <f t="shared" si="129"/>
        <v>06ﾀ00401</v>
      </c>
      <c r="D362" t="str">
        <f t="shared" si="130"/>
        <v>台車</v>
      </c>
      <c r="E362" t="str">
        <f>"所作台運搬車"</f>
        <v>所作台運搬車</v>
      </c>
      <c r="F362" t="str">
        <f t="shared" si="115"/>
        <v>００６０</v>
      </c>
      <c r="G362" t="str">
        <f>"3590002426"</f>
        <v>3590002426</v>
      </c>
      <c r="H362" t="str">
        <f t="shared" si="128"/>
        <v>001</v>
      </c>
      <c r="I362" t="str">
        <f>"4100401"</f>
        <v>4100401</v>
      </c>
      <c r="J362">
        <f>50000</f>
        <v>50000</v>
      </c>
      <c r="K362" t="str">
        <f t="shared" si="127"/>
        <v>台</v>
      </c>
      <c r="L362" t="str">
        <f>"3600110"</f>
        <v>3600110</v>
      </c>
      <c r="M362" t="str">
        <f>""</f>
        <v/>
      </c>
    </row>
    <row r="363" spans="1:13" x14ac:dyDescent="0.15">
      <c r="A363" t="str">
        <f t="shared" si="113"/>
        <v>1851110500</v>
      </c>
      <c r="B363" t="str">
        <f t="shared" si="114"/>
        <v>安佐南・区政調整</v>
      </c>
      <c r="C363" t="str">
        <f t="shared" si="129"/>
        <v>06ﾀ00401</v>
      </c>
      <c r="D363" t="str">
        <f t="shared" si="130"/>
        <v>台車</v>
      </c>
      <c r="E363" t="str">
        <f>"平台運搬車"</f>
        <v>平台運搬車</v>
      </c>
      <c r="F363" t="str">
        <f t="shared" si="115"/>
        <v>００６０</v>
      </c>
      <c r="G363" t="str">
        <f>"3590002427"</f>
        <v>3590002427</v>
      </c>
      <c r="H363" t="str">
        <f t="shared" si="128"/>
        <v>001</v>
      </c>
      <c r="I363" t="str">
        <f>"4100401"</f>
        <v>4100401</v>
      </c>
      <c r="J363">
        <f>33000</f>
        <v>33000</v>
      </c>
      <c r="K363" t="str">
        <f t="shared" si="127"/>
        <v>台</v>
      </c>
      <c r="L363" t="str">
        <f>"3600110"</f>
        <v>3600110</v>
      </c>
      <c r="M363" t="str">
        <f>""</f>
        <v/>
      </c>
    </row>
    <row r="364" spans="1:13" x14ac:dyDescent="0.15">
      <c r="A364" t="str">
        <f t="shared" si="113"/>
        <v>1851110500</v>
      </c>
      <c r="B364" t="str">
        <f t="shared" si="114"/>
        <v>安佐南・区政調整</v>
      </c>
      <c r="C364" t="str">
        <f t="shared" si="129"/>
        <v>06ﾀ00401</v>
      </c>
      <c r="D364" t="str">
        <f t="shared" si="130"/>
        <v>台車</v>
      </c>
      <c r="E364" t="str">
        <f>"椅子用台車ＣＰ－８０１"</f>
        <v>椅子用台車ＣＰ－８０１</v>
      </c>
      <c r="F364" t="str">
        <f t="shared" si="115"/>
        <v>００６０</v>
      </c>
      <c r="G364" t="str">
        <f>"4200003806"</f>
        <v>4200003806</v>
      </c>
      <c r="H364" t="str">
        <f t="shared" si="128"/>
        <v>001</v>
      </c>
      <c r="I364" t="str">
        <f>"4210109"</f>
        <v>4210109</v>
      </c>
      <c r="J364">
        <f>32550</f>
        <v>32550</v>
      </c>
      <c r="K364" t="str">
        <f t="shared" si="127"/>
        <v>台</v>
      </c>
      <c r="L364" t="str">
        <f>"4210109"</f>
        <v>4210109</v>
      </c>
      <c r="M364" t="str">
        <f>""</f>
        <v/>
      </c>
    </row>
    <row r="365" spans="1:13" x14ac:dyDescent="0.15">
      <c r="A365" t="str">
        <f t="shared" si="113"/>
        <v>1851110500</v>
      </c>
      <c r="B365" t="str">
        <f t="shared" si="114"/>
        <v>安佐南・区政調整</v>
      </c>
      <c r="C365" t="str">
        <f t="shared" si="129"/>
        <v>06ﾀ00401</v>
      </c>
      <c r="D365" t="str">
        <f t="shared" si="130"/>
        <v>台車</v>
      </c>
      <c r="E365" t="str">
        <f>"椅子用台車ＣＰ－８０１"</f>
        <v>椅子用台車ＣＰ－８０１</v>
      </c>
      <c r="F365" t="str">
        <f t="shared" si="115"/>
        <v>００６０</v>
      </c>
      <c r="G365" t="str">
        <f>"4200003807"</f>
        <v>4200003807</v>
      </c>
      <c r="H365" t="str">
        <f t="shared" si="128"/>
        <v>001</v>
      </c>
      <c r="I365" t="str">
        <f>"4210109"</f>
        <v>4210109</v>
      </c>
      <c r="J365">
        <f>32550</f>
        <v>32550</v>
      </c>
      <c r="K365" t="str">
        <f t="shared" si="127"/>
        <v>台</v>
      </c>
      <c r="L365" t="str">
        <f>"4210109"</f>
        <v>4210109</v>
      </c>
      <c r="M365" t="str">
        <f>""</f>
        <v/>
      </c>
    </row>
    <row r="366" spans="1:13" x14ac:dyDescent="0.15">
      <c r="A366" t="str">
        <f t="shared" si="113"/>
        <v>1851110500</v>
      </c>
      <c r="B366" t="str">
        <f t="shared" si="114"/>
        <v>安佐南・区政調整</v>
      </c>
      <c r="C366" t="str">
        <f t="shared" si="129"/>
        <v>06ﾀ00401</v>
      </c>
      <c r="D366" t="str">
        <f t="shared" si="130"/>
        <v>台車</v>
      </c>
      <c r="E366" t="str">
        <f>"椅子用台車ＣＰ－８０１"</f>
        <v>椅子用台車ＣＰ－８０１</v>
      </c>
      <c r="F366" t="str">
        <f t="shared" si="115"/>
        <v>００６０</v>
      </c>
      <c r="G366" t="str">
        <f>"4200003808"</f>
        <v>4200003808</v>
      </c>
      <c r="H366" t="str">
        <f t="shared" si="128"/>
        <v>001</v>
      </c>
      <c r="I366" t="str">
        <f>"4210109"</f>
        <v>4210109</v>
      </c>
      <c r="J366">
        <f>32550</f>
        <v>32550</v>
      </c>
      <c r="K366" t="str">
        <f t="shared" si="127"/>
        <v>台</v>
      </c>
      <c r="L366" t="str">
        <f>"4210109"</f>
        <v>4210109</v>
      </c>
      <c r="M366" t="str">
        <f>""</f>
        <v/>
      </c>
    </row>
    <row r="367" spans="1:13" x14ac:dyDescent="0.15">
      <c r="A367" t="str">
        <f t="shared" si="113"/>
        <v>1851110500</v>
      </c>
      <c r="B367" t="str">
        <f t="shared" si="114"/>
        <v>安佐南・区政調整</v>
      </c>
      <c r="C367" t="str">
        <f t="shared" si="129"/>
        <v>06ﾀ00401</v>
      </c>
      <c r="D367" t="str">
        <f t="shared" si="130"/>
        <v>台車</v>
      </c>
      <c r="E367" t="str">
        <f>"折りたたみイス専用台車　２段"</f>
        <v>折りたたみイス専用台車　２段</v>
      </c>
      <c r="F367" t="str">
        <f t="shared" si="115"/>
        <v>００６０</v>
      </c>
      <c r="G367" t="str">
        <f>"4230003145"</f>
        <v>4230003145</v>
      </c>
      <c r="H367" t="str">
        <f t="shared" si="128"/>
        <v>001</v>
      </c>
      <c r="I367" t="str">
        <f>"4240223"</f>
        <v>4240223</v>
      </c>
      <c r="J367">
        <f>40500</f>
        <v>40500</v>
      </c>
      <c r="K367" t="str">
        <f t="shared" si="127"/>
        <v>台</v>
      </c>
      <c r="L367" t="str">
        <f>"4240223"</f>
        <v>4240223</v>
      </c>
      <c r="M367" t="str">
        <f>""</f>
        <v/>
      </c>
    </row>
    <row r="368" spans="1:13" x14ac:dyDescent="0.15">
      <c r="A368" t="str">
        <f t="shared" si="113"/>
        <v>1851110500</v>
      </c>
      <c r="B368" t="str">
        <f t="shared" si="114"/>
        <v>安佐南・区政調整</v>
      </c>
      <c r="C368" t="str">
        <f t="shared" si="129"/>
        <v>06ﾀ00401</v>
      </c>
      <c r="D368" t="str">
        <f t="shared" si="130"/>
        <v>台車</v>
      </c>
      <c r="E368" t="str">
        <f>"折りたたみイス専用台車　２段"</f>
        <v>折りたたみイス専用台車　２段</v>
      </c>
      <c r="F368" t="str">
        <f t="shared" si="115"/>
        <v>００６０</v>
      </c>
      <c r="G368" t="str">
        <f>"4230003146"</f>
        <v>4230003146</v>
      </c>
      <c r="H368" t="str">
        <f t="shared" si="128"/>
        <v>001</v>
      </c>
      <c r="I368" t="str">
        <f>"4240223"</f>
        <v>4240223</v>
      </c>
      <c r="J368">
        <f>40500</f>
        <v>40500</v>
      </c>
      <c r="K368" t="str">
        <f t="shared" si="127"/>
        <v>台</v>
      </c>
      <c r="L368" t="str">
        <f>"4240223"</f>
        <v>4240223</v>
      </c>
      <c r="M368" t="str">
        <f>""</f>
        <v/>
      </c>
    </row>
    <row r="369" spans="1:13" x14ac:dyDescent="0.15">
      <c r="A369" t="str">
        <f t="shared" si="113"/>
        <v>1851110500</v>
      </c>
      <c r="B369" t="str">
        <f t="shared" si="114"/>
        <v>安佐南・区政調整</v>
      </c>
      <c r="C369" t="str">
        <f t="shared" si="129"/>
        <v>06ﾀ00401</v>
      </c>
      <c r="D369" t="str">
        <f t="shared" si="130"/>
        <v>台車</v>
      </c>
      <c r="E369" t="str">
        <f>"折りたたみイス専用台車　２段"</f>
        <v>折りたたみイス専用台車　２段</v>
      </c>
      <c r="F369" t="str">
        <f t="shared" si="115"/>
        <v>００６０</v>
      </c>
      <c r="G369" t="str">
        <f>"4230003147"</f>
        <v>4230003147</v>
      </c>
      <c r="H369" t="str">
        <f t="shared" si="128"/>
        <v>001</v>
      </c>
      <c r="I369" t="str">
        <f>"4240223"</f>
        <v>4240223</v>
      </c>
      <c r="J369">
        <f>40500</f>
        <v>40500</v>
      </c>
      <c r="K369" t="str">
        <f t="shared" si="127"/>
        <v>台</v>
      </c>
      <c r="L369" t="str">
        <f>"4240223"</f>
        <v>4240223</v>
      </c>
      <c r="M369" t="str">
        <f>""</f>
        <v/>
      </c>
    </row>
    <row r="370" spans="1:13" x14ac:dyDescent="0.15">
      <c r="A370" t="str">
        <f t="shared" si="113"/>
        <v>1851110500</v>
      </c>
      <c r="B370" t="str">
        <f t="shared" si="114"/>
        <v>安佐南・区政調整</v>
      </c>
      <c r="C370" t="str">
        <f>"07ｶ00201"</f>
        <v>07ｶ00201</v>
      </c>
      <c r="D370" t="str">
        <f>"掛軸"</f>
        <v>掛軸</v>
      </c>
      <c r="E370" t="str">
        <f>"春物（紅白梅）風鎮付"</f>
        <v>春物（紅白梅）風鎮付</v>
      </c>
      <c r="F370" t="str">
        <f t="shared" si="115"/>
        <v>００６０</v>
      </c>
      <c r="G370" t="str">
        <f>"3590002428"</f>
        <v>3590002428</v>
      </c>
      <c r="H370" t="str">
        <f t="shared" si="128"/>
        <v>001</v>
      </c>
      <c r="I370" t="str">
        <f>"4100401"</f>
        <v>4100401</v>
      </c>
      <c r="J370">
        <f>60160</f>
        <v>60160</v>
      </c>
      <c r="K370" t="str">
        <f>"幅"</f>
        <v>幅</v>
      </c>
      <c r="L370" t="str">
        <f>"3600121"</f>
        <v>3600121</v>
      </c>
      <c r="M370" t="str">
        <f>""</f>
        <v/>
      </c>
    </row>
    <row r="371" spans="1:13" x14ac:dyDescent="0.15">
      <c r="A371" t="str">
        <f t="shared" si="113"/>
        <v>1851110500</v>
      </c>
      <c r="B371" t="str">
        <f t="shared" si="114"/>
        <v>安佐南・区政調整</v>
      </c>
      <c r="C371" t="str">
        <f>"07ｶ00201"</f>
        <v>07ｶ00201</v>
      </c>
      <c r="D371" t="str">
        <f>"掛軸"</f>
        <v>掛軸</v>
      </c>
      <c r="E371" t="str">
        <f>"秋物（紅葉）風鎮付"</f>
        <v>秋物（紅葉）風鎮付</v>
      </c>
      <c r="F371" t="str">
        <f t="shared" si="115"/>
        <v>００６０</v>
      </c>
      <c r="G371" t="str">
        <f>"3590002429"</f>
        <v>3590002429</v>
      </c>
      <c r="H371" t="str">
        <f t="shared" si="128"/>
        <v>001</v>
      </c>
      <c r="I371" t="str">
        <f>"4100401"</f>
        <v>4100401</v>
      </c>
      <c r="J371">
        <f>52000</f>
        <v>52000</v>
      </c>
      <c r="K371" t="str">
        <f>"幅"</f>
        <v>幅</v>
      </c>
      <c r="L371" t="str">
        <f>"3600121"</f>
        <v>3600121</v>
      </c>
      <c r="M371" t="str">
        <f>""</f>
        <v/>
      </c>
    </row>
    <row r="372" spans="1:13" x14ac:dyDescent="0.15">
      <c r="A372" t="str">
        <f t="shared" si="113"/>
        <v>1851110500</v>
      </c>
      <c r="B372" t="str">
        <f t="shared" si="114"/>
        <v>安佐南・区政調整</v>
      </c>
      <c r="C372" t="str">
        <f>"07ｶ00201"</f>
        <v>07ｶ00201</v>
      </c>
      <c r="D372" t="str">
        <f>"掛軸"</f>
        <v>掛軸</v>
      </c>
      <c r="E372" t="str">
        <f>"山水・風鎮付"</f>
        <v>山水・風鎮付</v>
      </c>
      <c r="F372" t="str">
        <f t="shared" si="115"/>
        <v>００６０</v>
      </c>
      <c r="G372" t="str">
        <f>"3590002430"</f>
        <v>3590002430</v>
      </c>
      <c r="H372" t="str">
        <f t="shared" si="128"/>
        <v>001</v>
      </c>
      <c r="I372" t="str">
        <f>"4100401"</f>
        <v>4100401</v>
      </c>
      <c r="J372">
        <f>45680</f>
        <v>45680</v>
      </c>
      <c r="K372" t="str">
        <f>"幅"</f>
        <v>幅</v>
      </c>
      <c r="L372" t="str">
        <f>"3600121"</f>
        <v>3600121</v>
      </c>
      <c r="M372" t="str">
        <f>""</f>
        <v/>
      </c>
    </row>
    <row r="373" spans="1:13" x14ac:dyDescent="0.15">
      <c r="A373" t="str">
        <f t="shared" si="113"/>
        <v>1851110500</v>
      </c>
      <c r="B373" t="str">
        <f t="shared" si="114"/>
        <v>安佐南・区政調整</v>
      </c>
      <c r="C373" t="str">
        <f>"07ﾁ00101"</f>
        <v>07ﾁ00101</v>
      </c>
      <c r="D373" t="str">
        <f>"彫刻"</f>
        <v>彫刻</v>
      </c>
      <c r="E373" t="str">
        <f>"黒御影石「ＫＩＵ１９８７‐気宇」"</f>
        <v>黒御影石「ＫＩＵ１９８７‐気宇」</v>
      </c>
      <c r="F373" t="str">
        <f t="shared" si="115"/>
        <v>００６０</v>
      </c>
      <c r="G373" t="str">
        <f>"3610001770"</f>
        <v>3610001770</v>
      </c>
      <c r="H373" t="str">
        <f t="shared" si="128"/>
        <v>001</v>
      </c>
      <c r="I373" t="str">
        <f>"4100401"</f>
        <v>4100401</v>
      </c>
      <c r="J373">
        <f>4000000</f>
        <v>4000000</v>
      </c>
      <c r="K373" t="str">
        <f>"個"</f>
        <v>個</v>
      </c>
      <c r="L373" t="str">
        <f>"3620310"</f>
        <v>3620310</v>
      </c>
      <c r="M373" t="str">
        <f>""</f>
        <v/>
      </c>
    </row>
  </sheetData>
  <phoneticPr fontId="18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備品一覧2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2019-08-23T02:13:23Z</cp:lastPrinted>
  <dcterms:created xsi:type="dcterms:W3CDTF">2019-08-23T00:50:03Z</dcterms:created>
  <dcterms:modified xsi:type="dcterms:W3CDTF">2019-08-23T02:18:59Z</dcterms:modified>
</cp:coreProperties>
</file>